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2 Annual Update\Transco_OKTCo_SWTCo\Filed Documents 5-27-22\"/>
    </mc:Choice>
  </mc:AlternateContent>
  <xr:revisionPtr revIDLastSave="0" documentId="8_{CD8F13BA-46D0-4014-B6E3-06C77BF1B787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Summary!$C$1:$K$39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91029"/>
  <pivotCaches>
    <pivotCache cacheId="3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9" l="1"/>
  <c r="L3" i="18" l="1"/>
  <c r="H186" i="18"/>
  <c r="H54" i="18" l="1"/>
  <c r="H106" i="18"/>
  <c r="H170" i="18"/>
  <c r="H23" i="18"/>
  <c r="H31" i="18"/>
  <c r="H63" i="18"/>
  <c r="H126" i="18"/>
  <c r="H190" i="18"/>
  <c r="H38" i="18"/>
  <c r="H74" i="18"/>
  <c r="H138" i="18"/>
  <c r="H202" i="18"/>
  <c r="H22" i="18"/>
  <c r="H47" i="18"/>
  <c r="H94" i="18"/>
  <c r="H158" i="18"/>
  <c r="H27" i="18"/>
  <c r="H39" i="18"/>
  <c r="H55" i="18"/>
  <c r="H78" i="18"/>
  <c r="H110" i="18"/>
  <c r="H142" i="18"/>
  <c r="H174" i="18"/>
  <c r="H206" i="18"/>
  <c r="H30" i="18"/>
  <c r="H46" i="18"/>
  <c r="H62" i="18"/>
  <c r="H90" i="18"/>
  <c r="H122" i="18"/>
  <c r="H154" i="18"/>
  <c r="H209" i="18"/>
  <c r="H205" i="18"/>
  <c r="H201" i="18"/>
  <c r="H197" i="18"/>
  <c r="H193" i="18"/>
  <c r="H189" i="18"/>
  <c r="H185" i="18"/>
  <c r="H181" i="18"/>
  <c r="H177" i="18"/>
  <c r="H173" i="18"/>
  <c r="H169" i="18"/>
  <c r="H165" i="18"/>
  <c r="H161" i="18"/>
  <c r="H157" i="18"/>
  <c r="H153" i="18"/>
  <c r="H149" i="18"/>
  <c r="H145" i="18"/>
  <c r="H141" i="18"/>
  <c r="H137" i="18"/>
  <c r="H133" i="18"/>
  <c r="H129" i="18"/>
  <c r="H125" i="18"/>
  <c r="H121" i="18"/>
  <c r="H117" i="18"/>
  <c r="H113" i="18"/>
  <c r="H109" i="18"/>
  <c r="H105" i="18"/>
  <c r="H101" i="18"/>
  <c r="H97" i="18"/>
  <c r="H93" i="18"/>
  <c r="H89" i="18"/>
  <c r="H85" i="18"/>
  <c r="H81" i="18"/>
  <c r="H77" i="18"/>
  <c r="H73" i="18"/>
  <c r="H69" i="18"/>
  <c r="H65" i="18"/>
  <c r="H61" i="18"/>
  <c r="H57" i="18"/>
  <c r="H53" i="18"/>
  <c r="H49" i="18"/>
  <c r="H45" i="18"/>
  <c r="H41" i="18"/>
  <c r="H37" i="18"/>
  <c r="H33" i="18"/>
  <c r="H29" i="18"/>
  <c r="H25" i="18"/>
  <c r="H21" i="18"/>
  <c r="H208" i="18"/>
  <c r="H204" i="18"/>
  <c r="H200" i="18"/>
  <c r="H196" i="18"/>
  <c r="H192" i="18"/>
  <c r="H188" i="18"/>
  <c r="H184" i="18"/>
  <c r="H180" i="18"/>
  <c r="H176" i="18"/>
  <c r="H172" i="18"/>
  <c r="H168" i="18"/>
  <c r="H164" i="18"/>
  <c r="H160" i="18"/>
  <c r="H156" i="18"/>
  <c r="H152" i="18"/>
  <c r="H148" i="18"/>
  <c r="H144" i="18"/>
  <c r="H140" i="18"/>
  <c r="H136" i="18"/>
  <c r="H132" i="18"/>
  <c r="H128" i="18"/>
  <c r="H124" i="18"/>
  <c r="H120" i="18"/>
  <c r="H116" i="18"/>
  <c r="H112" i="18"/>
  <c r="H108" i="18"/>
  <c r="H104" i="18"/>
  <c r="H100" i="18"/>
  <c r="H96" i="18"/>
  <c r="H92" i="18"/>
  <c r="H88" i="18"/>
  <c r="H84" i="18"/>
  <c r="H80" i="18"/>
  <c r="H76" i="18"/>
  <c r="H72" i="18"/>
  <c r="H68" i="18"/>
  <c r="H64" i="18"/>
  <c r="H60" i="18"/>
  <c r="H56" i="18"/>
  <c r="H52" i="18"/>
  <c r="H48" i="18"/>
  <c r="H44" i="18"/>
  <c r="H40" i="18"/>
  <c r="H36" i="18"/>
  <c r="H32" i="18"/>
  <c r="H28" i="18"/>
  <c r="H24" i="18"/>
  <c r="H20" i="18"/>
  <c r="H211" i="18"/>
  <c r="H207" i="18"/>
  <c r="H203" i="18"/>
  <c r="H199" i="18"/>
  <c r="H195" i="18"/>
  <c r="H191" i="18"/>
  <c r="H187" i="18"/>
  <c r="H183" i="18"/>
  <c r="H179" i="18"/>
  <c r="H175" i="18"/>
  <c r="H171" i="18"/>
  <c r="H167" i="18"/>
  <c r="H163" i="18"/>
  <c r="H159" i="18"/>
  <c r="H155" i="18"/>
  <c r="H151" i="18"/>
  <c r="H147" i="18"/>
  <c r="H143" i="18"/>
  <c r="H139" i="18"/>
  <c r="H135" i="18"/>
  <c r="H131" i="18"/>
  <c r="H127" i="18"/>
  <c r="H123" i="18"/>
  <c r="H119" i="18"/>
  <c r="H115" i="18"/>
  <c r="H111" i="18"/>
  <c r="H107" i="18"/>
  <c r="H103" i="18"/>
  <c r="H99" i="18"/>
  <c r="H95" i="18"/>
  <c r="H91" i="18"/>
  <c r="H87" i="18"/>
  <c r="H83" i="18"/>
  <c r="H79" i="18"/>
  <c r="H75" i="18"/>
  <c r="H71" i="18"/>
  <c r="H67" i="18"/>
  <c r="H26" i="18"/>
  <c r="H34" i="18"/>
  <c r="H42" i="18"/>
  <c r="H50" i="18"/>
  <c r="H58" i="18"/>
  <c r="H66" i="18"/>
  <c r="H82" i="18"/>
  <c r="H98" i="18"/>
  <c r="H114" i="18"/>
  <c r="H130" i="18"/>
  <c r="H146" i="18"/>
  <c r="H162" i="18"/>
  <c r="H178" i="18"/>
  <c r="H194" i="18"/>
  <c r="H210" i="18"/>
  <c r="H35" i="18"/>
  <c r="H43" i="18"/>
  <c r="H51" i="18"/>
  <c r="H59" i="18"/>
  <c r="H70" i="18"/>
  <c r="H86" i="18"/>
  <c r="H102" i="18"/>
  <c r="H118" i="18"/>
  <c r="H134" i="18"/>
  <c r="H150" i="18"/>
  <c r="H166" i="18"/>
  <c r="H182" i="18"/>
  <c r="H198" i="18"/>
  <c r="K20" i="18" l="1"/>
  <c r="O191" i="18"/>
  <c r="K1" i="18"/>
  <c r="O59" i="18"/>
  <c r="P59" i="18" s="1"/>
  <c r="O67" i="18"/>
  <c r="O210" i="18"/>
  <c r="P210" i="18" s="1"/>
  <c r="O202" i="18"/>
  <c r="O178" i="18"/>
  <c r="O146" i="18"/>
  <c r="O138" i="18"/>
  <c r="O98" i="18"/>
  <c r="O90" i="18"/>
  <c r="P90" i="18" s="1"/>
  <c r="O38" i="18"/>
  <c r="O209" i="18"/>
  <c r="O181" i="18"/>
  <c r="P181" i="18" s="1"/>
  <c r="O177" i="18"/>
  <c r="O145" i="18"/>
  <c r="O121" i="18"/>
  <c r="O97" i="18"/>
  <c r="P97" i="18" s="1"/>
  <c r="O81" i="18"/>
  <c r="P81" i="18" s="1"/>
  <c r="O73" i="18"/>
  <c r="O49" i="18"/>
  <c r="O25" i="18"/>
  <c r="O208" i="18"/>
  <c r="O180" i="18"/>
  <c r="O160" i="18"/>
  <c r="O152" i="18"/>
  <c r="O120" i="18"/>
  <c r="O100" i="18"/>
  <c r="O96" i="18"/>
  <c r="O72" i="18"/>
  <c r="O52" i="18"/>
  <c r="O48" i="18"/>
  <c r="O23" i="18"/>
  <c r="O119" i="18"/>
  <c r="P119" i="18" s="1"/>
  <c r="O135" i="18"/>
  <c r="P191" i="18"/>
  <c r="P121" i="18"/>
  <c r="P98" i="18"/>
  <c r="P38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C3" i="29" s="1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D38" i="18"/>
  <c r="D50" i="18" s="1"/>
  <c r="J19" i="18"/>
  <c r="D43" i="18"/>
  <c r="D67" i="18" s="1"/>
  <c r="D79" i="18" s="1"/>
  <c r="B31" i="18"/>
  <c r="D42" i="18"/>
  <c r="D66" i="18" s="1"/>
  <c r="B30" i="18"/>
  <c r="D41" i="18"/>
  <c r="D65" i="18" s="1"/>
  <c r="D89" i="18" s="1"/>
  <c r="D101" i="18" s="1"/>
  <c r="D113" i="18" s="1"/>
  <c r="D125" i="18" s="1"/>
  <c r="D137" i="18" s="1"/>
  <c r="D149" i="18" s="1"/>
  <c r="D161" i="18" s="1"/>
  <c r="D185" i="18" s="1"/>
  <c r="D197" i="18" s="1"/>
  <c r="D209" i="18" s="1"/>
  <c r="B29" i="18"/>
  <c r="B28" i="18"/>
  <c r="C39" i="18"/>
  <c r="D39" i="18"/>
  <c r="D51" i="18" s="1"/>
  <c r="B27" i="18"/>
  <c r="B26" i="18"/>
  <c r="B25" i="18"/>
  <c r="B24" i="18"/>
  <c r="B23" i="18"/>
  <c r="B22" i="18"/>
  <c r="B21" i="18"/>
  <c r="D32" i="18"/>
  <c r="B16" i="18"/>
  <c r="J1" i="18"/>
  <c r="C43" i="18"/>
  <c r="B175" i="18"/>
  <c r="B174" i="18"/>
  <c r="B173" i="18"/>
  <c r="B172" i="18"/>
  <c r="B171" i="18"/>
  <c r="C38" i="18"/>
  <c r="B170" i="18"/>
  <c r="C37" i="18"/>
  <c r="C61" i="18" s="1"/>
  <c r="B169" i="18"/>
  <c r="B168" i="18"/>
  <c r="B167" i="18"/>
  <c r="B166" i="18"/>
  <c r="C33" i="18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59" i="18" s="1"/>
  <c r="C83" i="18" s="1"/>
  <c r="C95" i="18" s="1"/>
  <c r="C107" i="18" s="1"/>
  <c r="C119" i="18" s="1"/>
  <c r="C131" i="18" s="1"/>
  <c r="C143" i="18" s="1"/>
  <c r="C155" i="18" s="1"/>
  <c r="C34" i="18"/>
  <c r="C46" i="18" s="1"/>
  <c r="C41" i="18"/>
  <c r="C65" i="18" s="1"/>
  <c r="C89" i="18" s="1"/>
  <c r="C101" i="18" s="1"/>
  <c r="C113" i="18" s="1"/>
  <c r="C125" i="18" s="1"/>
  <c r="C137" i="18" s="1"/>
  <c r="C149" i="18" s="1"/>
  <c r="C161" i="18" s="1"/>
  <c r="D36" i="18"/>
  <c r="D60" i="18" s="1"/>
  <c r="D84" i="18" s="1"/>
  <c r="D96" i="18" s="1"/>
  <c r="D108" i="18" s="1"/>
  <c r="D120" i="18" s="1"/>
  <c r="D132" i="18" s="1"/>
  <c r="D144" i="18" s="1"/>
  <c r="D156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D63" i="18"/>
  <c r="D35" i="18"/>
  <c r="D37" i="18"/>
  <c r="D40" i="18"/>
  <c r="D52" i="18" s="1"/>
  <c r="D64" i="18"/>
  <c r="D76" i="18" s="1"/>
  <c r="D33" i="18"/>
  <c r="D57" i="18" s="1"/>
  <c r="D69" i="18" s="1"/>
  <c r="D34" i="18"/>
  <c r="D46" i="18" s="1"/>
  <c r="C54" i="18"/>
  <c r="C66" i="18"/>
  <c r="C90" i="18" s="1"/>
  <c r="C102" i="18" s="1"/>
  <c r="C114" i="18" s="1"/>
  <c r="C126" i="18" s="1"/>
  <c r="C138" i="18" s="1"/>
  <c r="C150" i="18" s="1"/>
  <c r="C162" i="18" s="1"/>
  <c r="C49" i="18"/>
  <c r="D53" i="18"/>
  <c r="D55" i="18"/>
  <c r="C51" i="18"/>
  <c r="C63" i="18"/>
  <c r="C58" i="18"/>
  <c r="C73" i="18"/>
  <c r="C85" i="18"/>
  <c r="C97" i="18" s="1"/>
  <c r="C109" i="18" s="1"/>
  <c r="C121" i="18" s="1"/>
  <c r="C133" i="18" s="1"/>
  <c r="C145" i="18" s="1"/>
  <c r="C157" i="18" s="1"/>
  <c r="C45" i="18"/>
  <c r="C57" i="18"/>
  <c r="C81" i="18" s="1"/>
  <c r="C93" i="18" s="1"/>
  <c r="C105" i="18" s="1"/>
  <c r="C117" i="18" s="1"/>
  <c r="C129" i="18" s="1"/>
  <c r="C141" i="18" s="1"/>
  <c r="C153" i="18" s="1"/>
  <c r="O139" i="18"/>
  <c r="O107" i="18"/>
  <c r="O175" i="18"/>
  <c r="P175" i="18" s="1"/>
  <c r="O91" i="18"/>
  <c r="P91" i="18" s="1"/>
  <c r="O99" i="18"/>
  <c r="O163" i="18"/>
  <c r="P163" i="18" s="1"/>
  <c r="O190" i="18"/>
  <c r="P190" i="18" s="1"/>
  <c r="O174" i="18"/>
  <c r="O126" i="18"/>
  <c r="P126" i="18" s="1"/>
  <c r="O110" i="18"/>
  <c r="O78" i="18"/>
  <c r="O30" i="18"/>
  <c r="O173" i="18"/>
  <c r="O157" i="18"/>
  <c r="O125" i="18"/>
  <c r="O109" i="18"/>
  <c r="O77" i="18"/>
  <c r="O61" i="18"/>
  <c r="P61" i="18" s="1"/>
  <c r="O204" i="18"/>
  <c r="O188" i="18"/>
  <c r="O140" i="18"/>
  <c r="P140" i="18" s="1"/>
  <c r="O92" i="18"/>
  <c r="O60" i="18"/>
  <c r="P60" i="18" s="1"/>
  <c r="O44" i="18"/>
  <c r="O103" i="18"/>
  <c r="O167" i="18"/>
  <c r="P167" i="18" s="1"/>
  <c r="O183" i="18"/>
  <c r="O20" i="18"/>
  <c r="O84" i="18"/>
  <c r="O104" i="18"/>
  <c r="P104" i="18" s="1"/>
  <c r="O128" i="18"/>
  <c r="P128" i="18" s="1"/>
  <c r="O148" i="18"/>
  <c r="P148" i="18" s="1"/>
  <c r="O168" i="18"/>
  <c r="O192" i="18"/>
  <c r="O21" i="18"/>
  <c r="P21" i="18" s="1"/>
  <c r="O41" i="18"/>
  <c r="O65" i="18"/>
  <c r="O85" i="18"/>
  <c r="O105" i="18"/>
  <c r="O129" i="18"/>
  <c r="O149" i="18"/>
  <c r="O169" i="18"/>
  <c r="P169" i="18" s="1"/>
  <c r="O193" i="18"/>
  <c r="P193" i="18" s="1"/>
  <c r="O22" i="18"/>
  <c r="O42" i="18"/>
  <c r="P42" i="18" s="1"/>
  <c r="O66" i="18"/>
  <c r="O86" i="18"/>
  <c r="P86" i="18" s="1"/>
  <c r="O106" i="18"/>
  <c r="P106" i="18"/>
  <c r="O130" i="18"/>
  <c r="P130" i="18" s="1"/>
  <c r="O150" i="18"/>
  <c r="P150" i="18" s="1"/>
  <c r="O170" i="18"/>
  <c r="O194" i="18"/>
  <c r="O195" i="18"/>
  <c r="P195" i="18" s="1"/>
  <c r="O115" i="18"/>
  <c r="P115" i="18" s="1"/>
  <c r="O187" i="18"/>
  <c r="O27" i="18"/>
  <c r="O79" i="18"/>
  <c r="O43" i="18"/>
  <c r="O159" i="18"/>
  <c r="P152" i="18"/>
  <c r="O75" i="18"/>
  <c r="P65" i="18"/>
  <c r="O198" i="18"/>
  <c r="P198" i="18" s="1"/>
  <c r="O147" i="18"/>
  <c r="O51" i="18"/>
  <c r="O207" i="18"/>
  <c r="O171" i="18"/>
  <c r="P171" i="18" s="1"/>
  <c r="O211" i="18"/>
  <c r="P135" i="18"/>
  <c r="O58" i="18"/>
  <c r="O114" i="18"/>
  <c r="O166" i="18"/>
  <c r="P166" i="18" s="1"/>
  <c r="O83" i="18"/>
  <c r="P83" i="18" s="1"/>
  <c r="O203" i="18"/>
  <c r="P203" i="18" s="1"/>
  <c r="P147" i="18"/>
  <c r="P146" i="18"/>
  <c r="O95" i="18"/>
  <c r="P95" i="18" s="1"/>
  <c r="O63" i="18"/>
  <c r="P63" i="18" s="1"/>
  <c r="O111" i="18"/>
  <c r="P111" i="18" s="1"/>
  <c r="O131" i="18"/>
  <c r="P131" i="18" s="1"/>
  <c r="O186" i="18"/>
  <c r="O162" i="18"/>
  <c r="P162" i="18" s="1"/>
  <c r="O134" i="18"/>
  <c r="O102" i="18"/>
  <c r="P102" i="18" s="1"/>
  <c r="O82" i="18"/>
  <c r="O54" i="18"/>
  <c r="O34" i="18"/>
  <c r="O197" i="18"/>
  <c r="P197" i="18" s="1"/>
  <c r="O165" i="18"/>
  <c r="O137" i="18"/>
  <c r="P137" i="18" s="1"/>
  <c r="O117" i="18"/>
  <c r="P117" i="18" s="1"/>
  <c r="O69" i="18"/>
  <c r="P69" i="18" s="1"/>
  <c r="O37" i="18"/>
  <c r="P37" i="18" s="1"/>
  <c r="O200" i="18"/>
  <c r="P200" i="18" s="1"/>
  <c r="O176" i="18"/>
  <c r="P176" i="18" s="1"/>
  <c r="O144" i="18"/>
  <c r="O116" i="18"/>
  <c r="P116" i="18" s="1"/>
  <c r="O88" i="18"/>
  <c r="P88" i="18" s="1"/>
  <c r="O68" i="18"/>
  <c r="O36" i="18"/>
  <c r="O55" i="18"/>
  <c r="O151" i="18"/>
  <c r="P151" i="18" s="1"/>
  <c r="O31" i="18"/>
  <c r="O158" i="18"/>
  <c r="P158" i="18" s="1"/>
  <c r="O62" i="18"/>
  <c r="O205" i="18"/>
  <c r="P205" i="18" s="1"/>
  <c r="O45" i="18"/>
  <c r="P45" i="18" s="1"/>
  <c r="O172" i="18"/>
  <c r="P172" i="18" s="1"/>
  <c r="O124" i="18"/>
  <c r="O76" i="18"/>
  <c r="P76" i="18" s="1"/>
  <c r="O28" i="18"/>
  <c r="O127" i="18"/>
  <c r="P127" i="18" s="1"/>
  <c r="O40" i="18"/>
  <c r="P40" i="18" s="1"/>
  <c r="O143" i="18"/>
  <c r="P143" i="18"/>
  <c r="O155" i="18"/>
  <c r="O179" i="18"/>
  <c r="O182" i="18"/>
  <c r="P182" i="18"/>
  <c r="O154" i="18"/>
  <c r="P154" i="18" s="1"/>
  <c r="O122" i="18"/>
  <c r="P122" i="18" s="1"/>
  <c r="O74" i="18"/>
  <c r="O50" i="18"/>
  <c r="O26" i="18"/>
  <c r="P26" i="18" s="1"/>
  <c r="O185" i="18"/>
  <c r="P185" i="18" s="1"/>
  <c r="O161" i="18"/>
  <c r="O133" i="18"/>
  <c r="P133" i="18" s="1"/>
  <c r="O113" i="18"/>
  <c r="P113" i="18" s="1"/>
  <c r="O89" i="18"/>
  <c r="O57" i="18"/>
  <c r="O33" i="18"/>
  <c r="O196" i="18"/>
  <c r="P196" i="18" s="1"/>
  <c r="O164" i="18"/>
  <c r="O136" i="18"/>
  <c r="O112" i="18"/>
  <c r="O56" i="18"/>
  <c r="O32" i="18"/>
  <c r="P32" i="18" s="1"/>
  <c r="O71" i="18"/>
  <c r="P71" i="18" s="1"/>
  <c r="O199" i="18"/>
  <c r="O47" i="18"/>
  <c r="O35" i="18"/>
  <c r="P35" i="18" s="1"/>
  <c r="O206" i="18"/>
  <c r="O142" i="18"/>
  <c r="P142" i="18" s="1"/>
  <c r="O94" i="18"/>
  <c r="P94" i="18" s="1"/>
  <c r="O46" i="18"/>
  <c r="P46" i="18" s="1"/>
  <c r="O189" i="18"/>
  <c r="P189" i="18" s="1"/>
  <c r="O141" i="18"/>
  <c r="P141" i="18" s="1"/>
  <c r="O93" i="18"/>
  <c r="O29" i="18"/>
  <c r="O156" i="18"/>
  <c r="P156" i="18" s="1"/>
  <c r="O108" i="18"/>
  <c r="O39" i="18"/>
  <c r="P39" i="18" s="1"/>
  <c r="O87" i="18"/>
  <c r="P87" i="18" s="1"/>
  <c r="O64" i="18"/>
  <c r="P64" i="18" s="1"/>
  <c r="P177" i="18"/>
  <c r="P208" i="18"/>
  <c r="P57" i="18"/>
  <c r="P165" i="18"/>
  <c r="P173" i="18"/>
  <c r="P78" i="18"/>
  <c r="G36" i="29"/>
  <c r="H29" i="29"/>
  <c r="E36" i="29"/>
  <c r="D28" i="29"/>
  <c r="G31" i="29"/>
  <c r="D22" i="29"/>
  <c r="D27" i="29"/>
  <c r="H22" i="29"/>
  <c r="E35" i="29"/>
  <c r="E27" i="29"/>
  <c r="H23" i="29"/>
  <c r="H21" i="29"/>
  <c r="E24" i="29"/>
  <c r="D23" i="29"/>
  <c r="E25" i="29"/>
  <c r="H26" i="29"/>
  <c r="D21" i="29"/>
  <c r="D30" i="29"/>
  <c r="D36" i="29"/>
  <c r="H28" i="29"/>
  <c r="G26" i="29"/>
  <c r="D32" i="29"/>
  <c r="H36" i="29"/>
  <c r="D25" i="29"/>
  <c r="E21" i="29"/>
  <c r="G37" i="29"/>
  <c r="E32" i="29"/>
  <c r="H27" i="29"/>
  <c r="D37" i="29"/>
  <c r="G27" i="29"/>
  <c r="H35" i="29"/>
  <c r="G25" i="29"/>
  <c r="E30" i="29"/>
  <c r="G35" i="29"/>
  <c r="D35" i="29"/>
  <c r="H31" i="29"/>
  <c r="H30" i="29"/>
  <c r="E33" i="29"/>
  <c r="D29" i="29"/>
  <c r="H24" i="29"/>
  <c r="G30" i="29"/>
  <c r="D33" i="29"/>
  <c r="D31" i="29"/>
  <c r="G24" i="29"/>
  <c r="D24" i="29"/>
  <c r="G33" i="29"/>
  <c r="E22" i="29"/>
  <c r="H33" i="29"/>
  <c r="G28" i="29"/>
  <c r="D26" i="29"/>
  <c r="E26" i="29"/>
  <c r="H25" i="29"/>
  <c r="G22" i="29"/>
  <c r="E23" i="29"/>
  <c r="E37" i="29"/>
  <c r="E28" i="29"/>
  <c r="E31" i="29"/>
  <c r="H37" i="29"/>
  <c r="G32" i="29"/>
  <c r="E29" i="29"/>
  <c r="G23" i="29"/>
  <c r="H32" i="29"/>
  <c r="G29" i="29"/>
  <c r="G21" i="29"/>
  <c r="C78" i="18" l="1"/>
  <c r="C72" i="18"/>
  <c r="D45" i="18"/>
  <c r="C53" i="18"/>
  <c r="D54" i="18"/>
  <c r="C69" i="18"/>
  <c r="D81" i="18"/>
  <c r="D93" i="18" s="1"/>
  <c r="D105" i="18" s="1"/>
  <c r="D117" i="18" s="1"/>
  <c r="D129" i="18" s="1"/>
  <c r="D141" i="18" s="1"/>
  <c r="D153" i="18" s="1"/>
  <c r="D165" i="18" s="1"/>
  <c r="D77" i="18"/>
  <c r="D48" i="18"/>
  <c r="C71" i="18"/>
  <c r="D62" i="18"/>
  <c r="D74" i="18" s="1"/>
  <c r="J38" i="29"/>
  <c r="P56" i="18"/>
  <c r="E10" i="29"/>
  <c r="F10" i="29"/>
  <c r="E20" i="29"/>
  <c r="D20" i="29"/>
  <c r="C173" i="18"/>
  <c r="C185" i="18"/>
  <c r="C197" i="18" s="1"/>
  <c r="C209" i="18" s="1"/>
  <c r="C180" i="18"/>
  <c r="C192" i="18" s="1"/>
  <c r="C204" i="18" s="1"/>
  <c r="C168" i="18"/>
  <c r="D91" i="18"/>
  <c r="D103" i="18" s="1"/>
  <c r="D115" i="18" s="1"/>
  <c r="D127" i="18" s="1"/>
  <c r="D139" i="18" s="1"/>
  <c r="D151" i="18" s="1"/>
  <c r="D163" i="18" s="1"/>
  <c r="D187" i="18" s="1"/>
  <c r="D199" i="18" s="1"/>
  <c r="D211" i="18" s="1"/>
  <c r="D88" i="18"/>
  <c r="D100" i="18" s="1"/>
  <c r="D112" i="18" s="1"/>
  <c r="D124" i="18" s="1"/>
  <c r="D136" i="18" s="1"/>
  <c r="D148" i="18" s="1"/>
  <c r="D160" i="18" s="1"/>
  <c r="D58" i="18"/>
  <c r="C48" i="18"/>
  <c r="D72" i="18"/>
  <c r="C77" i="18"/>
  <c r="C47" i="18"/>
  <c r="P124" i="18"/>
  <c r="P34" i="18"/>
  <c r="P207" i="18"/>
  <c r="P183" i="18"/>
  <c r="P199" i="18"/>
  <c r="P136" i="18"/>
  <c r="P55" i="18"/>
  <c r="P54" i="18"/>
  <c r="P51" i="18"/>
  <c r="P109" i="18"/>
  <c r="P30" i="18"/>
  <c r="P48" i="18"/>
  <c r="P62" i="18"/>
  <c r="P187" i="18"/>
  <c r="P105" i="18"/>
  <c r="P89" i="18"/>
  <c r="P50" i="18"/>
  <c r="P179" i="18"/>
  <c r="P31" i="18"/>
  <c r="P144" i="18"/>
  <c r="P82" i="18"/>
  <c r="P79" i="18"/>
  <c r="P22" i="18"/>
  <c r="P149" i="18"/>
  <c r="P168" i="18"/>
  <c r="P170" i="18"/>
  <c r="P174" i="18"/>
  <c r="P202" i="18"/>
  <c r="P120" i="18"/>
  <c r="G34" i="29"/>
  <c r="E38" i="29"/>
  <c r="F29" i="29"/>
  <c r="I29" i="29" s="1"/>
  <c r="K29" i="29" s="1"/>
  <c r="F31" i="29"/>
  <c r="I31" i="29" s="1"/>
  <c r="K31" i="29" s="1"/>
  <c r="F22" i="29"/>
  <c r="I22" i="29" s="1"/>
  <c r="K22" i="29" s="1"/>
  <c r="F23" i="29"/>
  <c r="I23" i="29" s="1"/>
  <c r="K23" i="29" s="1"/>
  <c r="F36" i="29"/>
  <c r="I36" i="29" s="1"/>
  <c r="K36" i="29" s="1"/>
  <c r="G38" i="29"/>
  <c r="F25" i="29"/>
  <c r="I25" i="29" s="1"/>
  <c r="K25" i="29" s="1"/>
  <c r="F30" i="29"/>
  <c r="I30" i="29" s="1"/>
  <c r="K30" i="29" s="1"/>
  <c r="F27" i="29"/>
  <c r="I27" i="29" s="1"/>
  <c r="K27" i="29" s="1"/>
  <c r="F21" i="29"/>
  <c r="D34" i="29"/>
  <c r="D38" i="29"/>
  <c r="F35" i="29"/>
  <c r="F33" i="29"/>
  <c r="I33" i="29" s="1"/>
  <c r="K33" i="29" s="1"/>
  <c r="F32" i="29"/>
  <c r="I32" i="29" s="1"/>
  <c r="K32" i="29" s="1"/>
  <c r="H38" i="29"/>
  <c r="F37" i="29"/>
  <c r="I37" i="29" s="1"/>
  <c r="K37" i="29" s="1"/>
  <c r="E34" i="29"/>
  <c r="F24" i="29"/>
  <c r="I24" i="29" s="1"/>
  <c r="K24" i="29" s="1"/>
  <c r="H34" i="29"/>
  <c r="F28" i="29"/>
  <c r="I28" i="29" s="1"/>
  <c r="K28" i="29" s="1"/>
  <c r="F26" i="29"/>
  <c r="I26" i="29" s="1"/>
  <c r="K26" i="29" s="1"/>
  <c r="C181" i="18"/>
  <c r="C193" i="18" s="1"/>
  <c r="C205" i="18" s="1"/>
  <c r="C169" i="18"/>
  <c r="C165" i="18"/>
  <c r="C177" i="18"/>
  <c r="C189" i="18" s="1"/>
  <c r="C201" i="18" s="1"/>
  <c r="C167" i="18"/>
  <c r="C179" i="18"/>
  <c r="C191" i="18" s="1"/>
  <c r="C203" i="18" s="1"/>
  <c r="J34" i="29"/>
  <c r="J39" i="29" s="1"/>
  <c r="D168" i="18"/>
  <c r="D180" i="18"/>
  <c r="D192" i="18" s="1"/>
  <c r="D204" i="18" s="1"/>
  <c r="C186" i="18"/>
  <c r="C198" i="18" s="1"/>
  <c r="C210" i="18" s="1"/>
  <c r="C174" i="18"/>
  <c r="C87" i="18"/>
  <c r="C99" i="18" s="1"/>
  <c r="C111" i="18" s="1"/>
  <c r="C123" i="18" s="1"/>
  <c r="C135" i="18" s="1"/>
  <c r="C147" i="18" s="1"/>
  <c r="C159" i="18" s="1"/>
  <c r="C75" i="18"/>
  <c r="D173" i="18"/>
  <c r="D75" i="18"/>
  <c r="D87" i="18"/>
  <c r="D99" i="18" s="1"/>
  <c r="D111" i="18" s="1"/>
  <c r="D123" i="18" s="1"/>
  <c r="D135" i="18" s="1"/>
  <c r="D147" i="18" s="1"/>
  <c r="D159" i="18" s="1"/>
  <c r="D44" i="18"/>
  <c r="D56" i="18"/>
  <c r="D47" i="18"/>
  <c r="D59" i="18"/>
  <c r="C55" i="18"/>
  <c r="C67" i="18"/>
  <c r="D90" i="18"/>
  <c r="D102" i="18" s="1"/>
  <c r="D114" i="18" s="1"/>
  <c r="D126" i="18" s="1"/>
  <c r="D138" i="18" s="1"/>
  <c r="D150" i="18" s="1"/>
  <c r="D162" i="18" s="1"/>
  <c r="D78" i="18"/>
  <c r="P29" i="18"/>
  <c r="P33" i="18"/>
  <c r="P186" i="18"/>
  <c r="D175" i="18"/>
  <c r="C52" i="18"/>
  <c r="C64" i="18"/>
  <c r="C82" i="18"/>
  <c r="C94" i="18" s="1"/>
  <c r="C106" i="18" s="1"/>
  <c r="C118" i="18" s="1"/>
  <c r="C130" i="18" s="1"/>
  <c r="C142" i="18" s="1"/>
  <c r="C154" i="18" s="1"/>
  <c r="C70" i="18"/>
  <c r="C56" i="18"/>
  <c r="C44" i="18"/>
  <c r="P41" i="18"/>
  <c r="P108" i="18"/>
  <c r="P206" i="18"/>
  <c r="P159" i="18"/>
  <c r="P77" i="18"/>
  <c r="D61" i="18"/>
  <c r="D49" i="18"/>
  <c r="C50" i="18"/>
  <c r="C62" i="18"/>
  <c r="P85" i="18"/>
  <c r="P194" i="18"/>
  <c r="P139" i="18"/>
  <c r="P67" i="18"/>
  <c r="P164" i="18"/>
  <c r="P160" i="18"/>
  <c r="O123" i="18"/>
  <c r="P123" i="18" s="1"/>
  <c r="O118" i="18"/>
  <c r="O70" i="18"/>
  <c r="P70" i="18" s="1"/>
  <c r="O201" i="18"/>
  <c r="P201" i="18" s="1"/>
  <c r="O153" i="18"/>
  <c r="O101" i="18"/>
  <c r="O53" i="18"/>
  <c r="P53" i="18" s="1"/>
  <c r="O184" i="18"/>
  <c r="P184" i="18" s="1"/>
  <c r="O132" i="18"/>
  <c r="O80" i="18"/>
  <c r="P80" i="18" s="1"/>
  <c r="O24" i="18"/>
  <c r="P24" i="18" s="1"/>
  <c r="P107" i="18"/>
  <c r="P74" i="18"/>
  <c r="G212" i="18"/>
  <c r="P58" i="18"/>
  <c r="P66" i="18"/>
  <c r="P211" i="18"/>
  <c r="P84" i="18"/>
  <c r="P92" i="18"/>
  <c r="P96" i="18"/>
  <c r="P110" i="18"/>
  <c r="P114" i="18"/>
  <c r="P118" i="18"/>
  <c r="P125" i="18"/>
  <c r="P129" i="18"/>
  <c r="P145" i="18"/>
  <c r="P153" i="18"/>
  <c r="P157" i="18"/>
  <c r="P161" i="18"/>
  <c r="P180" i="18"/>
  <c r="P188" i="18"/>
  <c r="P192" i="18"/>
  <c r="P204" i="18"/>
  <c r="P99" i="18"/>
  <c r="P103" i="18"/>
  <c r="P23" i="18"/>
  <c r="P27" i="18"/>
  <c r="P43" i="18"/>
  <c r="P47" i="18"/>
  <c r="P75" i="18"/>
  <c r="P93" i="18"/>
  <c r="P100" i="18"/>
  <c r="P134" i="18"/>
  <c r="P138" i="18"/>
  <c r="P209" i="18"/>
  <c r="P20" i="18"/>
  <c r="P28" i="18"/>
  <c r="P36" i="18"/>
  <c r="P44" i="18"/>
  <c r="P52" i="18"/>
  <c r="P68" i="18"/>
  <c r="P72" i="18"/>
  <c r="P101" i="18"/>
  <c r="P112" i="18"/>
  <c r="P132" i="18"/>
  <c r="P155" i="18"/>
  <c r="P178" i="18"/>
  <c r="P25" i="18"/>
  <c r="P49" i="18"/>
  <c r="P73" i="18"/>
  <c r="H39" i="29" l="1"/>
  <c r="D86" i="18"/>
  <c r="D98" i="18" s="1"/>
  <c r="D110" i="18" s="1"/>
  <c r="D122" i="18" s="1"/>
  <c r="D134" i="18" s="1"/>
  <c r="D146" i="18" s="1"/>
  <c r="D158" i="18" s="1"/>
  <c r="D177" i="18"/>
  <c r="D189" i="18" s="1"/>
  <c r="D201" i="18" s="1"/>
  <c r="E39" i="29"/>
  <c r="O13" i="18"/>
  <c r="D172" i="18"/>
  <c r="D184" i="18"/>
  <c r="D196" i="18" s="1"/>
  <c r="D208" i="18" s="1"/>
  <c r="D82" i="18"/>
  <c r="D94" i="18" s="1"/>
  <c r="D106" i="18" s="1"/>
  <c r="D118" i="18" s="1"/>
  <c r="D130" i="18" s="1"/>
  <c r="D142" i="18" s="1"/>
  <c r="D154" i="18" s="1"/>
  <c r="D70" i="18"/>
  <c r="C74" i="18"/>
  <c r="C86" i="18"/>
  <c r="C98" i="18" s="1"/>
  <c r="C110" i="18" s="1"/>
  <c r="C122" i="18" s="1"/>
  <c r="C134" i="18" s="1"/>
  <c r="C146" i="18" s="1"/>
  <c r="C158" i="18" s="1"/>
  <c r="D83" i="18"/>
  <c r="D95" i="18" s="1"/>
  <c r="D107" i="18" s="1"/>
  <c r="D119" i="18" s="1"/>
  <c r="D131" i="18" s="1"/>
  <c r="D143" i="18" s="1"/>
  <c r="D155" i="18" s="1"/>
  <c r="D71" i="18"/>
  <c r="I21" i="29"/>
  <c r="F34" i="29"/>
  <c r="O14" i="18"/>
  <c r="C178" i="18"/>
  <c r="C190" i="18" s="1"/>
  <c r="C202" i="18" s="1"/>
  <c r="C166" i="18"/>
  <c r="D186" i="18"/>
  <c r="D198" i="18" s="1"/>
  <c r="D210" i="18" s="1"/>
  <c r="D174" i="18"/>
  <c r="D171" i="18"/>
  <c r="D183" i="18"/>
  <c r="D195" i="18" s="1"/>
  <c r="D207" i="18" s="1"/>
  <c r="C183" i="18"/>
  <c r="C195" i="18" s="1"/>
  <c r="C207" i="18" s="1"/>
  <c r="C171" i="18"/>
  <c r="F38" i="29"/>
  <c r="I35" i="29"/>
  <c r="C76" i="18"/>
  <c r="C88" i="18"/>
  <c r="C100" i="18" s="1"/>
  <c r="C112" i="18" s="1"/>
  <c r="C124" i="18" s="1"/>
  <c r="C136" i="18" s="1"/>
  <c r="C148" i="18" s="1"/>
  <c r="C160" i="18" s="1"/>
  <c r="C91" i="18"/>
  <c r="C103" i="18" s="1"/>
  <c r="C115" i="18" s="1"/>
  <c r="C127" i="18" s="1"/>
  <c r="C139" i="18" s="1"/>
  <c r="C151" i="18" s="1"/>
  <c r="C163" i="18" s="1"/>
  <c r="C79" i="18"/>
  <c r="D73" i="18"/>
  <c r="D85" i="18"/>
  <c r="D97" i="18" s="1"/>
  <c r="D109" i="18" s="1"/>
  <c r="D121" i="18" s="1"/>
  <c r="D133" i="18" s="1"/>
  <c r="D145" i="18" s="1"/>
  <c r="D157" i="18" s="1"/>
  <c r="C80" i="18"/>
  <c r="C92" i="18" s="1"/>
  <c r="C104" i="18" s="1"/>
  <c r="C116" i="18" s="1"/>
  <c r="C128" i="18" s="1"/>
  <c r="C140" i="18" s="1"/>
  <c r="C152" i="18" s="1"/>
  <c r="C68" i="18"/>
  <c r="D68" i="18"/>
  <c r="D80" i="18"/>
  <c r="D92" i="18" s="1"/>
  <c r="D104" i="18" s="1"/>
  <c r="D116" i="18" s="1"/>
  <c r="D128" i="18" s="1"/>
  <c r="D140" i="18" s="1"/>
  <c r="D152" i="18" s="1"/>
  <c r="D39" i="29"/>
  <c r="G39" i="29"/>
  <c r="P14" i="18"/>
  <c r="P212" i="18"/>
  <c r="P13" i="18"/>
  <c r="F39" i="29" l="1"/>
  <c r="D170" i="18"/>
  <c r="D182" i="18"/>
  <c r="D194" i="18" s="1"/>
  <c r="D206" i="18" s="1"/>
  <c r="D178" i="18"/>
  <c r="D190" i="18" s="1"/>
  <c r="D202" i="18" s="1"/>
  <c r="D166" i="18"/>
  <c r="C172" i="18"/>
  <c r="C184" i="18"/>
  <c r="C196" i="18" s="1"/>
  <c r="C208" i="18" s="1"/>
  <c r="K35" i="29"/>
  <c r="I38" i="29"/>
  <c r="K38" i="29" s="1"/>
  <c r="C170" i="18"/>
  <c r="C182" i="18"/>
  <c r="C194" i="18" s="1"/>
  <c r="C206" i="18" s="1"/>
  <c r="I34" i="29"/>
  <c r="K21" i="29"/>
  <c r="C164" i="18"/>
  <c r="C176" i="18"/>
  <c r="C188" i="18" s="1"/>
  <c r="C200" i="18" s="1"/>
  <c r="D164" i="18"/>
  <c r="D176" i="18"/>
  <c r="D188" i="18" s="1"/>
  <c r="D200" i="18" s="1"/>
  <c r="D181" i="18"/>
  <c r="D193" i="18" s="1"/>
  <c r="D205" i="18" s="1"/>
  <c r="D169" i="18"/>
  <c r="C187" i="18"/>
  <c r="C199" i="18" s="1"/>
  <c r="C211" i="18" s="1"/>
  <c r="C175" i="18"/>
  <c r="D179" i="18"/>
  <c r="D191" i="18" s="1"/>
  <c r="D203" i="18" s="1"/>
  <c r="D167" i="18"/>
  <c r="K34" i="29" l="1"/>
  <c r="I39" i="29"/>
  <c r="K39" i="29" l="1"/>
  <c r="E11" i="29"/>
  <c r="K94" i="18" l="1"/>
  <c r="K144" i="18"/>
  <c r="K31" i="18"/>
  <c r="K148" i="18"/>
  <c r="K110" i="18"/>
  <c r="K155" i="18"/>
  <c r="K120" i="18"/>
  <c r="K41" i="18"/>
  <c r="K90" i="18"/>
  <c r="K83" i="18"/>
  <c r="K157" i="18"/>
  <c r="K112" i="18"/>
  <c r="K87" i="18"/>
  <c r="K57" i="18"/>
  <c r="K30" i="18"/>
  <c r="K104" i="18"/>
  <c r="K162" i="18"/>
  <c r="K21" i="18"/>
  <c r="K49" i="18"/>
  <c r="K179" i="18"/>
  <c r="K199" i="18"/>
  <c r="K208" i="18"/>
  <c r="K125" i="18"/>
  <c r="K152" i="18"/>
  <c r="K154" i="18"/>
  <c r="K55" i="18"/>
  <c r="K47" i="18"/>
  <c r="K129" i="18"/>
  <c r="K153" i="18"/>
  <c r="K74" i="18"/>
  <c r="K177" i="18"/>
  <c r="K184" i="18"/>
  <c r="K209" i="18"/>
  <c r="K42" i="18"/>
  <c r="K174" i="18"/>
  <c r="K186" i="18"/>
  <c r="K170" i="18"/>
  <c r="K158" i="18"/>
  <c r="K145" i="18"/>
  <c r="K205" i="18"/>
  <c r="K139" i="18"/>
  <c r="K27" i="18"/>
  <c r="K85" i="18"/>
  <c r="K137" i="18"/>
  <c r="K43" i="18"/>
  <c r="K165" i="18"/>
  <c r="K84" i="18"/>
  <c r="K25" i="18"/>
  <c r="K207" i="18"/>
  <c r="K69" i="18"/>
  <c r="K91" i="18"/>
  <c r="K192" i="18"/>
  <c r="K119" i="18"/>
  <c r="K122" i="18"/>
  <c r="K23" i="18"/>
  <c r="K77" i="18"/>
  <c r="K48" i="18"/>
  <c r="K39" i="18"/>
  <c r="K178" i="18"/>
  <c r="K45" i="18"/>
  <c r="K175" i="18"/>
  <c r="K126" i="18"/>
  <c r="K100" i="18"/>
  <c r="K52" i="18"/>
  <c r="K73" i="18"/>
  <c r="K28" i="18"/>
  <c r="K80" i="18"/>
  <c r="K203" i="18"/>
  <c r="K181" i="18"/>
  <c r="K130" i="18"/>
  <c r="K62" i="18"/>
  <c r="K34" i="18"/>
  <c r="K40" i="18"/>
  <c r="K206" i="18"/>
  <c r="K33" i="18"/>
  <c r="K81" i="18"/>
  <c r="K92" i="18"/>
  <c r="K189" i="18"/>
  <c r="K75" i="18"/>
  <c r="K60" i="18"/>
  <c r="K151" i="18"/>
  <c r="K65" i="18"/>
  <c r="K194" i="18"/>
  <c r="K160" i="18"/>
  <c r="K99" i="18"/>
  <c r="K118" i="18"/>
  <c r="K136" i="18"/>
  <c r="K134" i="18"/>
  <c r="K124" i="18"/>
  <c r="K173" i="18"/>
  <c r="K59" i="18"/>
  <c r="K68" i="18"/>
  <c r="K95" i="18"/>
  <c r="K97" i="18"/>
  <c r="K117" i="18"/>
  <c r="K24" i="18"/>
  <c r="K197" i="18"/>
  <c r="K191" i="18"/>
  <c r="K64" i="18"/>
  <c r="K121" i="18"/>
  <c r="K26" i="18"/>
  <c r="K56" i="18"/>
  <c r="K71" i="18"/>
  <c r="K146" i="18"/>
  <c r="K180" i="18"/>
  <c r="K159" i="18"/>
  <c r="K185" i="18"/>
  <c r="K98" i="18"/>
  <c r="K172" i="18"/>
  <c r="K169" i="18"/>
  <c r="K58" i="18"/>
  <c r="K44" i="18"/>
  <c r="K102" i="18"/>
  <c r="K66" i="18"/>
  <c r="K127" i="18"/>
  <c r="K67" i="18"/>
  <c r="K63" i="18"/>
  <c r="K142" i="18"/>
  <c r="K38" i="18"/>
  <c r="K61" i="18"/>
  <c r="K156" i="18"/>
  <c r="K141" i="18"/>
  <c r="K109" i="18"/>
  <c r="K210" i="18"/>
  <c r="K143" i="18"/>
  <c r="K88" i="18"/>
  <c r="K35" i="18"/>
  <c r="K128" i="18"/>
  <c r="K164" i="18"/>
  <c r="K201" i="18"/>
  <c r="K106" i="18"/>
  <c r="K96" i="18"/>
  <c r="K161" i="18"/>
  <c r="K149" i="18"/>
  <c r="K36" i="18"/>
  <c r="K133" i="18"/>
  <c r="K187" i="18"/>
  <c r="K46" i="18"/>
  <c r="K211" i="18"/>
  <c r="K168" i="18"/>
  <c r="K163" i="18"/>
  <c r="K114" i="18"/>
  <c r="K204" i="18"/>
  <c r="K171" i="18"/>
  <c r="K200" i="18"/>
  <c r="K188" i="18"/>
  <c r="K108" i="18"/>
  <c r="K202" i="18"/>
  <c r="K70" i="18"/>
  <c r="K116" i="18"/>
  <c r="K131" i="18"/>
  <c r="K115" i="18"/>
  <c r="K22" i="18"/>
  <c r="K140" i="18"/>
  <c r="K111" i="18"/>
  <c r="K105" i="18"/>
  <c r="K50" i="18"/>
  <c r="K132" i="18"/>
  <c r="K190" i="18"/>
  <c r="K93" i="18"/>
  <c r="K107" i="18"/>
  <c r="K113" i="18"/>
  <c r="E13" i="29"/>
  <c r="K53" i="18"/>
  <c r="K150" i="18"/>
  <c r="K78" i="18"/>
  <c r="K29" i="18"/>
  <c r="K195" i="18"/>
  <c r="K176" i="18"/>
  <c r="K32" i="18"/>
  <c r="K167" i="18"/>
  <c r="K72" i="18"/>
  <c r="K135" i="18"/>
  <c r="K37" i="18"/>
  <c r="K147" i="18"/>
  <c r="K138" i="18"/>
  <c r="K51" i="18"/>
  <c r="K123" i="18"/>
  <c r="K89" i="18"/>
  <c r="K86" i="18"/>
  <c r="K54" i="18"/>
  <c r="K103" i="18"/>
  <c r="K82" i="18"/>
  <c r="K183" i="18"/>
  <c r="K166" i="18"/>
  <c r="K101" i="18"/>
  <c r="K79" i="18"/>
  <c r="K196" i="18"/>
  <c r="K193" i="18"/>
  <c r="K198" i="18"/>
  <c r="K76" i="18"/>
  <c r="K182" i="18"/>
  <c r="K14" i="18" l="1"/>
  <c r="K212" i="18"/>
  <c r="K13" i="18"/>
  <c r="F12" i="29" l="1"/>
  <c r="I81" i="18" l="1"/>
  <c r="J81" i="18" s="1"/>
  <c r="L81" i="18" s="1"/>
  <c r="I147" i="18"/>
  <c r="J147" i="18" s="1"/>
  <c r="L147" i="18" s="1"/>
  <c r="I62" i="18"/>
  <c r="J62" i="18" s="1"/>
  <c r="L62" i="18" s="1"/>
  <c r="I45" i="18"/>
  <c r="J45" i="18" s="1"/>
  <c r="L45" i="18" s="1"/>
  <c r="I117" i="18"/>
  <c r="J117" i="18" s="1"/>
  <c r="L117" i="18" s="1"/>
  <c r="I148" i="18"/>
  <c r="J148" i="18" s="1"/>
  <c r="L148" i="18" s="1"/>
  <c r="I74" i="18"/>
  <c r="J74" i="18" s="1"/>
  <c r="L74" i="18" s="1"/>
  <c r="I30" i="18"/>
  <c r="J30" i="18" s="1"/>
  <c r="L30" i="18" s="1"/>
  <c r="I129" i="18"/>
  <c r="J129" i="18" s="1"/>
  <c r="L129" i="18" s="1"/>
  <c r="I206" i="18"/>
  <c r="J206" i="18" s="1"/>
  <c r="L206" i="18" s="1"/>
  <c r="I166" i="18"/>
  <c r="J166" i="18" s="1"/>
  <c r="L166" i="18" s="1"/>
  <c r="I190" i="18"/>
  <c r="J190" i="18" s="1"/>
  <c r="L190" i="18" s="1"/>
  <c r="I80" i="18"/>
  <c r="J80" i="18" s="1"/>
  <c r="L80" i="18" s="1"/>
  <c r="I76" i="18"/>
  <c r="J76" i="18" s="1"/>
  <c r="L76" i="18" s="1"/>
  <c r="I187" i="18"/>
  <c r="J187" i="18" s="1"/>
  <c r="L187" i="18" s="1"/>
  <c r="I178" i="18"/>
  <c r="J178" i="18" s="1"/>
  <c r="L178" i="18" s="1"/>
  <c r="I26" i="18"/>
  <c r="J26" i="18" s="1"/>
  <c r="L26" i="18" s="1"/>
  <c r="I203" i="18"/>
  <c r="J203" i="18" s="1"/>
  <c r="L203" i="18" s="1"/>
  <c r="I156" i="18"/>
  <c r="J156" i="18" s="1"/>
  <c r="L156" i="18" s="1"/>
  <c r="I68" i="18"/>
  <c r="J68" i="18" s="1"/>
  <c r="L68" i="18" s="1"/>
  <c r="I51" i="18"/>
  <c r="J51" i="18" s="1"/>
  <c r="L51" i="18" s="1"/>
  <c r="I167" i="18"/>
  <c r="J167" i="18" s="1"/>
  <c r="L167" i="18" s="1"/>
  <c r="I158" i="18"/>
  <c r="J158" i="18" s="1"/>
  <c r="L158" i="18" s="1"/>
  <c r="I199" i="18"/>
  <c r="J199" i="18" s="1"/>
  <c r="L199" i="18" s="1"/>
  <c r="I24" i="18"/>
  <c r="J24" i="18" s="1"/>
  <c r="L24" i="18" s="1"/>
  <c r="I99" i="18"/>
  <c r="J99" i="18" s="1"/>
  <c r="L99" i="18" s="1"/>
  <c r="I143" i="18"/>
  <c r="J143" i="18" s="1"/>
  <c r="L143" i="18" s="1"/>
  <c r="I34" i="18"/>
  <c r="J34" i="18" s="1"/>
  <c r="L34" i="18" s="1"/>
  <c r="I123" i="18"/>
  <c r="J123" i="18" s="1"/>
  <c r="L123" i="18" s="1"/>
  <c r="I134" i="18"/>
  <c r="J134" i="18" s="1"/>
  <c r="L134" i="18" s="1"/>
  <c r="I176" i="18"/>
  <c r="J176" i="18" s="1"/>
  <c r="L176" i="18" s="1"/>
  <c r="I53" i="18"/>
  <c r="J53" i="18" s="1"/>
  <c r="L53" i="18" s="1"/>
  <c r="I186" i="18"/>
  <c r="J186" i="18" s="1"/>
  <c r="L186" i="18" s="1"/>
  <c r="I41" i="18"/>
  <c r="J41" i="18" s="1"/>
  <c r="L41" i="18" s="1"/>
  <c r="I146" i="18"/>
  <c r="J146" i="18" s="1"/>
  <c r="L146" i="18" s="1"/>
  <c r="I182" i="18"/>
  <c r="J182" i="18" s="1"/>
  <c r="L182" i="18" s="1"/>
  <c r="I161" i="18"/>
  <c r="J161" i="18" s="1"/>
  <c r="L161" i="18" s="1"/>
  <c r="I110" i="18"/>
  <c r="J110" i="18" s="1"/>
  <c r="L110" i="18" s="1"/>
  <c r="I93" i="18"/>
  <c r="J93" i="18" s="1"/>
  <c r="L93" i="18" s="1"/>
  <c r="I200" i="18"/>
  <c r="J200" i="18" s="1"/>
  <c r="L200" i="18" s="1"/>
  <c r="I195" i="18"/>
  <c r="J195" i="18" s="1"/>
  <c r="L195" i="18" s="1"/>
  <c r="I120" i="18"/>
  <c r="J120" i="18" s="1"/>
  <c r="L120" i="18" s="1"/>
  <c r="I144" i="18"/>
  <c r="J144" i="18" s="1"/>
  <c r="L144" i="18" s="1"/>
  <c r="I55" i="18"/>
  <c r="J55" i="18" s="1"/>
  <c r="L55" i="18" s="1"/>
  <c r="I165" i="18"/>
  <c r="J165" i="18" s="1"/>
  <c r="L165" i="18" s="1"/>
  <c r="I61" i="18"/>
  <c r="J61" i="18" s="1"/>
  <c r="L61" i="18" s="1"/>
  <c r="I173" i="18"/>
  <c r="J173" i="18" s="1"/>
  <c r="L173" i="18" s="1"/>
  <c r="I170" i="18"/>
  <c r="J170" i="18" s="1"/>
  <c r="L170" i="18" s="1"/>
  <c r="I103" i="18"/>
  <c r="J103" i="18" s="1"/>
  <c r="L103" i="18" s="1"/>
  <c r="I89" i="18"/>
  <c r="J89" i="18" s="1"/>
  <c r="L89" i="18" s="1"/>
  <c r="I112" i="18"/>
  <c r="J112" i="18" s="1"/>
  <c r="L112" i="18" s="1"/>
  <c r="I85" i="18"/>
  <c r="J85" i="18" s="1"/>
  <c r="L85" i="18" s="1"/>
  <c r="I44" i="18"/>
  <c r="J44" i="18" s="1"/>
  <c r="L44" i="18" s="1"/>
  <c r="I69" i="18"/>
  <c r="J69" i="18" s="1"/>
  <c r="L69" i="18" s="1"/>
  <c r="I163" i="18"/>
  <c r="J163" i="18" s="1"/>
  <c r="L163" i="18" s="1"/>
  <c r="I191" i="18"/>
  <c r="J191" i="18" s="1"/>
  <c r="L191" i="18" s="1"/>
  <c r="I21" i="18"/>
  <c r="J21" i="18" s="1"/>
  <c r="L21" i="18" s="1"/>
  <c r="I95" i="18"/>
  <c r="J95" i="18" s="1"/>
  <c r="L95" i="18" s="1"/>
  <c r="I138" i="18"/>
  <c r="J138" i="18" s="1"/>
  <c r="L138" i="18" s="1"/>
  <c r="I192" i="18"/>
  <c r="J192" i="18" s="1"/>
  <c r="L192" i="18" s="1"/>
  <c r="I86" i="18"/>
  <c r="J86" i="18" s="1"/>
  <c r="L86" i="18" s="1"/>
  <c r="I58" i="18"/>
  <c r="J58" i="18" s="1"/>
  <c r="L58" i="18" s="1"/>
  <c r="I193" i="18"/>
  <c r="J193" i="18" s="1"/>
  <c r="L193" i="18" s="1"/>
  <c r="I141" i="18"/>
  <c r="J141" i="18" s="1"/>
  <c r="L141" i="18" s="1"/>
  <c r="I109" i="18"/>
  <c r="J109" i="18" s="1"/>
  <c r="L109" i="18" s="1"/>
  <c r="I185" i="18"/>
  <c r="J185" i="18" s="1"/>
  <c r="L185" i="18" s="1"/>
  <c r="I164" i="18"/>
  <c r="J164" i="18" s="1"/>
  <c r="L164" i="18" s="1"/>
  <c r="I208" i="18"/>
  <c r="J208" i="18" s="1"/>
  <c r="L208" i="18" s="1"/>
  <c r="I111" i="18"/>
  <c r="J111" i="18" s="1"/>
  <c r="L111" i="18" s="1"/>
  <c r="I135" i="18"/>
  <c r="J135" i="18" s="1"/>
  <c r="L135" i="18" s="1"/>
  <c r="I142" i="18"/>
  <c r="J142" i="18" s="1"/>
  <c r="L142" i="18" s="1"/>
  <c r="I79" i="18"/>
  <c r="J79" i="18" s="1"/>
  <c r="L79" i="18" s="1"/>
  <c r="I127" i="18"/>
  <c r="J127" i="18" s="1"/>
  <c r="L127" i="18" s="1"/>
  <c r="I63" i="18"/>
  <c r="J63" i="18" s="1"/>
  <c r="L63" i="18" s="1"/>
  <c r="I209" i="18"/>
  <c r="J209" i="18" s="1"/>
  <c r="L209" i="18" s="1"/>
  <c r="I188" i="18"/>
  <c r="J188" i="18" s="1"/>
  <c r="L188" i="18" s="1"/>
  <c r="I38" i="18"/>
  <c r="J38" i="18" s="1"/>
  <c r="L38" i="18" s="1"/>
  <c r="I35" i="18"/>
  <c r="J35" i="18" s="1"/>
  <c r="L35" i="18" s="1"/>
  <c r="I168" i="18"/>
  <c r="J168" i="18" s="1"/>
  <c r="L168" i="18" s="1"/>
  <c r="I153" i="18"/>
  <c r="J153" i="18" s="1"/>
  <c r="L153" i="18" s="1"/>
  <c r="I116" i="18"/>
  <c r="J116" i="18" s="1"/>
  <c r="L116" i="18" s="1"/>
  <c r="I122" i="18"/>
  <c r="J122" i="18" s="1"/>
  <c r="L122" i="18" s="1"/>
  <c r="I78" i="18"/>
  <c r="J78" i="18" s="1"/>
  <c r="L78" i="18" s="1"/>
  <c r="I184" i="18"/>
  <c r="J184" i="18" s="1"/>
  <c r="L184" i="18" s="1"/>
  <c r="I56" i="18"/>
  <c r="J56" i="18" s="1"/>
  <c r="I171" i="18"/>
  <c r="J171" i="18" s="1"/>
  <c r="L171" i="18" s="1"/>
  <c r="I149" i="18"/>
  <c r="J149" i="18" s="1"/>
  <c r="L149" i="18" s="1"/>
  <c r="I105" i="18"/>
  <c r="J105" i="18" s="1"/>
  <c r="L105" i="18" s="1"/>
  <c r="F14" i="29"/>
  <c r="I54" i="18"/>
  <c r="J54" i="18" s="1"/>
  <c r="L54" i="18" s="1"/>
  <c r="I174" i="18"/>
  <c r="J174" i="18" s="1"/>
  <c r="L174" i="18" s="1"/>
  <c r="I33" i="18"/>
  <c r="J33" i="18" s="1"/>
  <c r="L33" i="18" s="1"/>
  <c r="I27" i="18"/>
  <c r="J27" i="18" s="1"/>
  <c r="L27" i="18" s="1"/>
  <c r="I94" i="18"/>
  <c r="J94" i="18" s="1"/>
  <c r="L94" i="18" s="1"/>
  <c r="I133" i="18"/>
  <c r="J133" i="18" s="1"/>
  <c r="L133" i="18" s="1"/>
  <c r="I154" i="18"/>
  <c r="J154" i="18" s="1"/>
  <c r="L154" i="18" s="1"/>
  <c r="I130" i="18"/>
  <c r="J130" i="18" s="1"/>
  <c r="L130" i="18" s="1"/>
  <c r="I189" i="18"/>
  <c r="J189" i="18" s="1"/>
  <c r="L189" i="18" s="1"/>
  <c r="I210" i="18"/>
  <c r="J210" i="18" s="1"/>
  <c r="L210" i="18" s="1"/>
  <c r="I137" i="18"/>
  <c r="J137" i="18" s="1"/>
  <c r="L137" i="18" s="1"/>
  <c r="I115" i="18"/>
  <c r="J115" i="18" s="1"/>
  <c r="L115" i="18" s="1"/>
  <c r="I126" i="18"/>
  <c r="J126" i="18" s="1"/>
  <c r="L126" i="18" s="1"/>
  <c r="I169" i="18"/>
  <c r="J169" i="18" s="1"/>
  <c r="L169" i="18" s="1"/>
  <c r="I152" i="18"/>
  <c r="J152" i="18" s="1"/>
  <c r="L152" i="18" s="1"/>
  <c r="I151" i="18"/>
  <c r="J151" i="18" s="1"/>
  <c r="L151" i="18" s="1"/>
  <c r="I181" i="18"/>
  <c r="J181" i="18" s="1"/>
  <c r="L181" i="18" s="1"/>
  <c r="I42" i="18"/>
  <c r="J42" i="18" s="1"/>
  <c r="L42" i="18" s="1"/>
  <c r="I36" i="18"/>
  <c r="J36" i="18" s="1"/>
  <c r="L36" i="18" s="1"/>
  <c r="I204" i="18"/>
  <c r="J204" i="18" s="1"/>
  <c r="L204" i="18" s="1"/>
  <c r="I88" i="18"/>
  <c r="J88" i="18" s="1"/>
  <c r="L88" i="18" s="1"/>
  <c r="I83" i="18"/>
  <c r="J83" i="18" s="1"/>
  <c r="L83" i="18" s="1"/>
  <c r="I102" i="18"/>
  <c r="J102" i="18" s="1"/>
  <c r="L102" i="18" s="1"/>
  <c r="I177" i="18"/>
  <c r="J177" i="18" s="1"/>
  <c r="L177" i="18" s="1"/>
  <c r="I32" i="18"/>
  <c r="J32" i="18" s="1"/>
  <c r="L32" i="18" s="1"/>
  <c r="I50" i="18"/>
  <c r="J50" i="18" s="1"/>
  <c r="L50" i="18" s="1"/>
  <c r="I101" i="18"/>
  <c r="J101" i="18" s="1"/>
  <c r="L101" i="18" s="1"/>
  <c r="I160" i="18"/>
  <c r="J160" i="18" s="1"/>
  <c r="L160" i="18" s="1"/>
  <c r="I104" i="18"/>
  <c r="J104" i="18" s="1"/>
  <c r="L104" i="18" s="1"/>
  <c r="I198" i="18"/>
  <c r="J198" i="18" s="1"/>
  <c r="L198" i="18" s="1"/>
  <c r="I205" i="18"/>
  <c r="J205" i="18" s="1"/>
  <c r="L205" i="18" s="1"/>
  <c r="I70" i="18"/>
  <c r="J70" i="18" s="1"/>
  <c r="L70" i="18" s="1"/>
  <c r="I155" i="18"/>
  <c r="J155" i="18" s="1"/>
  <c r="L155" i="18" s="1"/>
  <c r="I197" i="18"/>
  <c r="J197" i="18" s="1"/>
  <c r="L197" i="18" s="1"/>
  <c r="I91" i="18"/>
  <c r="J91" i="18" s="1"/>
  <c r="L91" i="18" s="1"/>
  <c r="I66" i="18"/>
  <c r="J66" i="18" s="1"/>
  <c r="L66" i="18" s="1"/>
  <c r="I71" i="18"/>
  <c r="J71" i="18" s="1"/>
  <c r="L71" i="18" s="1"/>
  <c r="I67" i="18"/>
  <c r="J67" i="18" s="1"/>
  <c r="L67" i="18" s="1"/>
  <c r="I47" i="18"/>
  <c r="J47" i="18" s="1"/>
  <c r="L47" i="18" s="1"/>
  <c r="I107" i="18"/>
  <c r="J107" i="18" s="1"/>
  <c r="L107" i="18" s="1"/>
  <c r="I96" i="18"/>
  <c r="J96" i="18" s="1"/>
  <c r="L96" i="18" s="1"/>
  <c r="I136" i="18"/>
  <c r="J136" i="18" s="1"/>
  <c r="L136" i="18" s="1"/>
  <c r="I77" i="18"/>
  <c r="J77" i="18" s="1"/>
  <c r="L77" i="18" s="1"/>
  <c r="I100" i="18"/>
  <c r="J100" i="18" s="1"/>
  <c r="L100" i="18" s="1"/>
  <c r="I113" i="18"/>
  <c r="J113" i="18" s="1"/>
  <c r="L113" i="18" s="1"/>
  <c r="I57" i="18"/>
  <c r="J57" i="18" s="1"/>
  <c r="L57" i="18" s="1"/>
  <c r="I125" i="18"/>
  <c r="J125" i="18" s="1"/>
  <c r="L125" i="18" s="1"/>
  <c r="I20" i="18"/>
  <c r="J20" i="18" s="1"/>
  <c r="I108" i="18"/>
  <c r="J108" i="18" s="1"/>
  <c r="L108" i="18" s="1"/>
  <c r="I52" i="18"/>
  <c r="J52" i="18" s="1"/>
  <c r="L52" i="18" s="1"/>
  <c r="I114" i="18"/>
  <c r="J114" i="18" s="1"/>
  <c r="L114" i="18" s="1"/>
  <c r="I43" i="18"/>
  <c r="J43" i="18" s="1"/>
  <c r="L43" i="18" s="1"/>
  <c r="I23" i="18"/>
  <c r="J23" i="18" s="1"/>
  <c r="L23" i="18" s="1"/>
  <c r="I159" i="18"/>
  <c r="J159" i="18" s="1"/>
  <c r="L159" i="18" s="1"/>
  <c r="I82" i="18"/>
  <c r="J82" i="18" s="1"/>
  <c r="L82" i="18" s="1"/>
  <c r="I46" i="18"/>
  <c r="J46" i="18" s="1"/>
  <c r="L46" i="18" s="1"/>
  <c r="I121" i="18"/>
  <c r="J121" i="18" s="1"/>
  <c r="L121" i="18" s="1"/>
  <c r="I180" i="18"/>
  <c r="J180" i="18" s="1"/>
  <c r="L180" i="18" s="1"/>
  <c r="I119" i="18"/>
  <c r="J119" i="18" s="1"/>
  <c r="L119" i="18" s="1"/>
  <c r="I139" i="18"/>
  <c r="J139" i="18" s="1"/>
  <c r="L139" i="18" s="1"/>
  <c r="I201" i="18"/>
  <c r="J201" i="18" s="1"/>
  <c r="L201" i="18" s="1"/>
  <c r="I73" i="18"/>
  <c r="J73" i="18" s="1"/>
  <c r="L73" i="18" s="1"/>
  <c r="I39" i="18"/>
  <c r="J39" i="18" s="1"/>
  <c r="L39" i="18" s="1"/>
  <c r="I207" i="18"/>
  <c r="J207" i="18" s="1"/>
  <c r="L207" i="18" s="1"/>
  <c r="I87" i="18"/>
  <c r="J87" i="18" s="1"/>
  <c r="L87" i="18" s="1"/>
  <c r="I37" i="18"/>
  <c r="J37" i="18" s="1"/>
  <c r="L37" i="18" s="1"/>
  <c r="I124" i="18"/>
  <c r="J124" i="18" s="1"/>
  <c r="L124" i="18" s="1"/>
  <c r="I211" i="18"/>
  <c r="J211" i="18" s="1"/>
  <c r="L211" i="18" s="1"/>
  <c r="I183" i="18"/>
  <c r="J183" i="18" s="1"/>
  <c r="L183" i="18" s="1"/>
  <c r="I150" i="18"/>
  <c r="J150" i="18" s="1"/>
  <c r="L150" i="18" s="1"/>
  <c r="I162" i="18"/>
  <c r="J162" i="18" s="1"/>
  <c r="L162" i="18" s="1"/>
  <c r="I31" i="18"/>
  <c r="J31" i="18" s="1"/>
  <c r="L31" i="18" s="1"/>
  <c r="I106" i="18"/>
  <c r="J106" i="18" s="1"/>
  <c r="L106" i="18" s="1"/>
  <c r="I132" i="18"/>
  <c r="J132" i="18" s="1"/>
  <c r="L132" i="18" s="1"/>
  <c r="I84" i="18"/>
  <c r="J84" i="18" s="1"/>
  <c r="L84" i="18" s="1"/>
  <c r="I140" i="18"/>
  <c r="J140" i="18" s="1"/>
  <c r="L140" i="18" s="1"/>
  <c r="I64" i="18"/>
  <c r="J64" i="18" s="1"/>
  <c r="L64" i="18" s="1"/>
  <c r="I131" i="18"/>
  <c r="J131" i="18" s="1"/>
  <c r="L131" i="18" s="1"/>
  <c r="I179" i="18"/>
  <c r="J179" i="18" s="1"/>
  <c r="L179" i="18" s="1"/>
  <c r="I175" i="18"/>
  <c r="J175" i="18" s="1"/>
  <c r="L175" i="18" s="1"/>
  <c r="I22" i="18"/>
  <c r="J22" i="18" s="1"/>
  <c r="L22" i="18" s="1"/>
  <c r="I40" i="18"/>
  <c r="J40" i="18" s="1"/>
  <c r="L40" i="18" s="1"/>
  <c r="I72" i="18"/>
  <c r="J72" i="18" s="1"/>
  <c r="L72" i="18" s="1"/>
  <c r="I98" i="18"/>
  <c r="J98" i="18" s="1"/>
  <c r="L98" i="18" s="1"/>
  <c r="I65" i="18"/>
  <c r="J65" i="18" s="1"/>
  <c r="L65" i="18" s="1"/>
  <c r="I118" i="18"/>
  <c r="J118" i="18" s="1"/>
  <c r="L118" i="18" s="1"/>
  <c r="I90" i="18"/>
  <c r="J90" i="18" s="1"/>
  <c r="L90" i="18" s="1"/>
  <c r="I60" i="18"/>
  <c r="J60" i="18" s="1"/>
  <c r="L60" i="18" s="1"/>
  <c r="I25" i="18"/>
  <c r="J25" i="18" s="1"/>
  <c r="L25" i="18" s="1"/>
  <c r="I202" i="18"/>
  <c r="J202" i="18" s="1"/>
  <c r="L202" i="18" s="1"/>
  <c r="I28" i="18"/>
  <c r="J28" i="18" s="1"/>
  <c r="L28" i="18" s="1"/>
  <c r="I48" i="18"/>
  <c r="J48" i="18" s="1"/>
  <c r="L48" i="18" s="1"/>
  <c r="I196" i="18"/>
  <c r="J196" i="18" s="1"/>
  <c r="L196" i="18" s="1"/>
  <c r="I145" i="18"/>
  <c r="J145" i="18" s="1"/>
  <c r="L145" i="18" s="1"/>
  <c r="I128" i="18"/>
  <c r="J128" i="18" s="1"/>
  <c r="L128" i="18" s="1"/>
  <c r="I75" i="18"/>
  <c r="J75" i="18" s="1"/>
  <c r="L75" i="18" s="1"/>
  <c r="I172" i="18"/>
  <c r="J172" i="18" s="1"/>
  <c r="L172" i="18" s="1"/>
  <c r="I97" i="18"/>
  <c r="J97" i="18" s="1"/>
  <c r="L97" i="18" s="1"/>
  <c r="I157" i="18"/>
  <c r="J157" i="18" s="1"/>
  <c r="L157" i="18" s="1"/>
  <c r="I194" i="18"/>
  <c r="J194" i="18" s="1"/>
  <c r="L194" i="18" s="1"/>
  <c r="I59" i="18"/>
  <c r="J59" i="18" s="1"/>
  <c r="L59" i="18" s="1"/>
  <c r="I49" i="18"/>
  <c r="J49" i="18" s="1"/>
  <c r="L49" i="18" s="1"/>
  <c r="I92" i="18"/>
  <c r="J92" i="18" s="1"/>
  <c r="L92" i="18" s="1"/>
  <c r="I29" i="18"/>
  <c r="J29" i="18" s="1"/>
  <c r="L29" i="18" s="1"/>
  <c r="L20" i="18" l="1"/>
  <c r="J212" i="18"/>
  <c r="J14" i="18"/>
  <c r="J13" i="18"/>
  <c r="L56" i="18"/>
  <c r="L13" i="18" l="1"/>
  <c r="L212" i="18"/>
  <c r="L14" i="18"/>
  <c r="M21" i="18" l="1"/>
  <c r="N21" i="18" s="1"/>
  <c r="R21" i="18" s="1"/>
  <c r="M97" i="18"/>
  <c r="N97" i="18" s="1"/>
  <c r="R97" i="18" s="1"/>
  <c r="M53" i="18"/>
  <c r="N53" i="18" s="1"/>
  <c r="R53" i="18" s="1"/>
  <c r="M83" i="18"/>
  <c r="N83" i="18" s="1"/>
  <c r="R83" i="18" s="1"/>
  <c r="M74" i="18"/>
  <c r="N74" i="18" s="1"/>
  <c r="R74" i="18" s="1"/>
  <c r="M80" i="18"/>
  <c r="N80" i="18" s="1"/>
  <c r="R80" i="18" s="1"/>
  <c r="M198" i="18"/>
  <c r="N198" i="18" s="1"/>
  <c r="R198" i="18" s="1"/>
  <c r="M42" i="18"/>
  <c r="N42" i="18" s="1"/>
  <c r="R42" i="18" s="1"/>
  <c r="M188" i="18"/>
  <c r="N188" i="18" s="1"/>
  <c r="R188" i="18" s="1"/>
  <c r="M51" i="18"/>
  <c r="N51" i="18" s="1"/>
  <c r="R51" i="18" s="1"/>
  <c r="M159" i="18"/>
  <c r="N159" i="18" s="1"/>
  <c r="R159" i="18" s="1"/>
  <c r="M111" i="18"/>
  <c r="N111" i="18" s="1"/>
  <c r="R111" i="18" s="1"/>
  <c r="M78" i="18"/>
  <c r="N78" i="18" s="1"/>
  <c r="R78" i="18" s="1"/>
  <c r="M199" i="18"/>
  <c r="N199" i="18" s="1"/>
  <c r="R199" i="18" s="1"/>
  <c r="M206" i="18"/>
  <c r="N206" i="18" s="1"/>
  <c r="R206" i="18" s="1"/>
  <c r="M91" i="18"/>
  <c r="N91" i="18" s="1"/>
  <c r="R91" i="18" s="1"/>
  <c r="M210" i="18"/>
  <c r="N210" i="18" s="1"/>
  <c r="R210" i="18" s="1"/>
  <c r="M58" i="18"/>
  <c r="N58" i="18" s="1"/>
  <c r="R58" i="18" s="1"/>
  <c r="M44" i="18"/>
  <c r="N44" i="18" s="1"/>
  <c r="R44" i="18" s="1"/>
  <c r="M190" i="18"/>
  <c r="N190" i="18" s="1"/>
  <c r="R190" i="18" s="1"/>
  <c r="M65" i="18"/>
  <c r="N65" i="18" s="1"/>
  <c r="R65" i="18" s="1"/>
  <c r="M171" i="18"/>
  <c r="N171" i="18" s="1"/>
  <c r="R171" i="18" s="1"/>
  <c r="M29" i="18"/>
  <c r="N29" i="18" s="1"/>
  <c r="R29" i="18" s="1"/>
  <c r="M87" i="18"/>
  <c r="N87" i="18" s="1"/>
  <c r="R87" i="18" s="1"/>
  <c r="M72" i="18"/>
  <c r="N72" i="18" s="1"/>
  <c r="R72" i="18" s="1"/>
  <c r="M122" i="18"/>
  <c r="N122" i="18" s="1"/>
  <c r="R122" i="18" s="1"/>
  <c r="M27" i="18"/>
  <c r="N27" i="18" s="1"/>
  <c r="R27" i="18" s="1"/>
  <c r="M168" i="18"/>
  <c r="N168" i="18" s="1"/>
  <c r="R168" i="18" s="1"/>
  <c r="M136" i="18"/>
  <c r="N136" i="18" s="1"/>
  <c r="R136" i="18" s="1"/>
  <c r="M131" i="18"/>
  <c r="N131" i="18" s="1"/>
  <c r="R131" i="18" s="1"/>
  <c r="M105" i="18"/>
  <c r="N105" i="18" s="1"/>
  <c r="R105" i="18" s="1"/>
  <c r="M123" i="18"/>
  <c r="N123" i="18" s="1"/>
  <c r="R123" i="18" s="1"/>
  <c r="M103" i="18"/>
  <c r="N103" i="18" s="1"/>
  <c r="R103" i="18" s="1"/>
  <c r="M119" i="18"/>
  <c r="N119" i="18" s="1"/>
  <c r="R119" i="18" s="1"/>
  <c r="M24" i="18"/>
  <c r="N24" i="18" s="1"/>
  <c r="R24" i="18" s="1"/>
  <c r="M191" i="18"/>
  <c r="N191" i="18" s="1"/>
  <c r="R191" i="18" s="1"/>
  <c r="M189" i="18"/>
  <c r="N189" i="18" s="1"/>
  <c r="R189" i="18" s="1"/>
  <c r="M211" i="18"/>
  <c r="N211" i="18" s="1"/>
  <c r="R211" i="18" s="1"/>
  <c r="M60" i="18"/>
  <c r="N60" i="18" s="1"/>
  <c r="R60" i="18" s="1"/>
  <c r="M69" i="18"/>
  <c r="N69" i="18" s="1"/>
  <c r="R69" i="18" s="1"/>
  <c r="M178" i="18"/>
  <c r="N178" i="18" s="1"/>
  <c r="R178" i="18" s="1"/>
  <c r="M113" i="18"/>
  <c r="N113" i="18" s="1"/>
  <c r="R113" i="18" s="1"/>
  <c r="M56" i="18"/>
  <c r="M207" i="18"/>
  <c r="N207" i="18" s="1"/>
  <c r="R207" i="18" s="1"/>
  <c r="M208" i="18"/>
  <c r="N208" i="18" s="1"/>
  <c r="R208" i="18" s="1"/>
  <c r="M194" i="18"/>
  <c r="N194" i="18" s="1"/>
  <c r="R194" i="18" s="1"/>
  <c r="M174" i="18"/>
  <c r="N174" i="18" s="1"/>
  <c r="R174" i="18" s="1"/>
  <c r="M33" i="18"/>
  <c r="N33" i="18" s="1"/>
  <c r="R33" i="18" s="1"/>
  <c r="M102" i="18"/>
  <c r="N102" i="18" s="1"/>
  <c r="R102" i="18" s="1"/>
  <c r="M88" i="18"/>
  <c r="N88" i="18" s="1"/>
  <c r="R88" i="18" s="1"/>
  <c r="M67" i="18"/>
  <c r="N67" i="18" s="1"/>
  <c r="R67" i="18" s="1"/>
  <c r="M197" i="18"/>
  <c r="N197" i="18" s="1"/>
  <c r="R197" i="18" s="1"/>
  <c r="M81" i="18"/>
  <c r="N81" i="18" s="1"/>
  <c r="R81" i="18" s="1"/>
  <c r="M138" i="18"/>
  <c r="N138" i="18" s="1"/>
  <c r="R138" i="18" s="1"/>
  <c r="M161" i="18"/>
  <c r="N161" i="18" s="1"/>
  <c r="R161" i="18" s="1"/>
  <c r="M89" i="18"/>
  <c r="N89" i="18" s="1"/>
  <c r="R89" i="18" s="1"/>
  <c r="M205" i="18"/>
  <c r="N205" i="18" s="1"/>
  <c r="R205" i="18" s="1"/>
  <c r="M76" i="18"/>
  <c r="N76" i="18" s="1"/>
  <c r="R76" i="18" s="1"/>
  <c r="M184" i="18"/>
  <c r="N184" i="18" s="1"/>
  <c r="R184" i="18" s="1"/>
  <c r="M84" i="18"/>
  <c r="N84" i="18" s="1"/>
  <c r="R84" i="18" s="1"/>
  <c r="M117" i="18"/>
  <c r="N117" i="18" s="1"/>
  <c r="R117" i="18" s="1"/>
  <c r="M70" i="18"/>
  <c r="N70" i="18" s="1"/>
  <c r="R70" i="18" s="1"/>
  <c r="M62" i="18"/>
  <c r="N62" i="18" s="1"/>
  <c r="R62" i="18" s="1"/>
  <c r="M46" i="18"/>
  <c r="N46" i="18" s="1"/>
  <c r="R46" i="18" s="1"/>
  <c r="M93" i="18"/>
  <c r="N93" i="18" s="1"/>
  <c r="R93" i="18" s="1"/>
  <c r="M26" i="18"/>
  <c r="N26" i="18" s="1"/>
  <c r="R26" i="18" s="1"/>
  <c r="M30" i="18"/>
  <c r="N30" i="18" s="1"/>
  <c r="R30" i="18" s="1"/>
  <c r="M193" i="18"/>
  <c r="N193" i="18" s="1"/>
  <c r="R193" i="18" s="1"/>
  <c r="M108" i="18"/>
  <c r="N108" i="18" s="1"/>
  <c r="R108" i="18" s="1"/>
  <c r="M166" i="18"/>
  <c r="N166" i="18" s="1"/>
  <c r="R166" i="18" s="1"/>
  <c r="M128" i="18"/>
  <c r="N128" i="18" s="1"/>
  <c r="R128" i="18" s="1"/>
  <c r="M152" i="18"/>
  <c r="N152" i="18" s="1"/>
  <c r="R152" i="18" s="1"/>
  <c r="M95" i="18"/>
  <c r="N95" i="18" s="1"/>
  <c r="R95" i="18" s="1"/>
  <c r="M150" i="18"/>
  <c r="N150" i="18" s="1"/>
  <c r="R150" i="18" s="1"/>
  <c r="M86" i="18"/>
  <c r="N86" i="18" s="1"/>
  <c r="R86" i="18" s="1"/>
  <c r="M90" i="18"/>
  <c r="N90" i="18" s="1"/>
  <c r="R90" i="18" s="1"/>
  <c r="M181" i="18"/>
  <c r="N181" i="18" s="1"/>
  <c r="R181" i="18" s="1"/>
  <c r="M132" i="18"/>
  <c r="N132" i="18" s="1"/>
  <c r="R132" i="18" s="1"/>
  <c r="M148" i="18"/>
  <c r="N148" i="18" s="1"/>
  <c r="R148" i="18" s="1"/>
  <c r="M22" i="18"/>
  <c r="N22" i="18" s="1"/>
  <c r="R22" i="18" s="1"/>
  <c r="M172" i="18"/>
  <c r="N172" i="18" s="1"/>
  <c r="R172" i="18" s="1"/>
  <c r="M32" i="18"/>
  <c r="N32" i="18" s="1"/>
  <c r="R32" i="18" s="1"/>
  <c r="M135" i="18"/>
  <c r="N135" i="18" s="1"/>
  <c r="R135" i="18" s="1"/>
  <c r="M114" i="18"/>
  <c r="N114" i="18" s="1"/>
  <c r="R114" i="18" s="1"/>
  <c r="M115" i="18"/>
  <c r="N115" i="18" s="1"/>
  <c r="R115" i="18" s="1"/>
  <c r="M125" i="18"/>
  <c r="N125" i="18" s="1"/>
  <c r="R125" i="18" s="1"/>
  <c r="M28" i="18"/>
  <c r="N28" i="18" s="1"/>
  <c r="R28" i="18" s="1"/>
  <c r="M47" i="18"/>
  <c r="N47" i="18" s="1"/>
  <c r="R47" i="18" s="1"/>
  <c r="M176" i="18"/>
  <c r="N176" i="18" s="1"/>
  <c r="R176" i="18" s="1"/>
  <c r="M50" i="18"/>
  <c r="N50" i="18" s="1"/>
  <c r="R50" i="18" s="1"/>
  <c r="M35" i="18"/>
  <c r="N35" i="18" s="1"/>
  <c r="R35" i="18" s="1"/>
  <c r="M196" i="18"/>
  <c r="N196" i="18" s="1"/>
  <c r="R196" i="18" s="1"/>
  <c r="M173" i="18"/>
  <c r="N173" i="18" s="1"/>
  <c r="R173" i="18" s="1"/>
  <c r="M100" i="18"/>
  <c r="N100" i="18" s="1"/>
  <c r="R100" i="18" s="1"/>
  <c r="M68" i="18"/>
  <c r="N68" i="18" s="1"/>
  <c r="R68" i="18" s="1"/>
  <c r="M143" i="18"/>
  <c r="N143" i="18" s="1"/>
  <c r="R143" i="18" s="1"/>
  <c r="M75" i="18"/>
  <c r="N75" i="18" s="1"/>
  <c r="R75" i="18" s="1"/>
  <c r="M167" i="18"/>
  <c r="N167" i="18" s="1"/>
  <c r="R167" i="18" s="1"/>
  <c r="M139" i="18"/>
  <c r="N139" i="18" s="1"/>
  <c r="R139" i="18" s="1"/>
  <c r="M43" i="18"/>
  <c r="N43" i="18" s="1"/>
  <c r="R43" i="18" s="1"/>
  <c r="M187" i="18"/>
  <c r="N187" i="18" s="1"/>
  <c r="R187" i="18" s="1"/>
  <c r="M149" i="18"/>
  <c r="N149" i="18" s="1"/>
  <c r="R149" i="18" s="1"/>
  <c r="M112" i="18"/>
  <c r="N112" i="18" s="1"/>
  <c r="R112" i="18" s="1"/>
  <c r="M61" i="18"/>
  <c r="N61" i="18" s="1"/>
  <c r="R61" i="18" s="1"/>
  <c r="M141" i="18"/>
  <c r="N141" i="18" s="1"/>
  <c r="R141" i="18" s="1"/>
  <c r="M203" i="18"/>
  <c r="N203" i="18" s="1"/>
  <c r="R203" i="18" s="1"/>
  <c r="M55" i="18"/>
  <c r="N55" i="18" s="1"/>
  <c r="R55" i="18" s="1"/>
  <c r="M209" i="18"/>
  <c r="N209" i="18" s="1"/>
  <c r="R209" i="18" s="1"/>
  <c r="M163" i="18"/>
  <c r="N163" i="18" s="1"/>
  <c r="R163" i="18" s="1"/>
  <c r="M73" i="18"/>
  <c r="N73" i="18" s="1"/>
  <c r="R73" i="18" s="1"/>
  <c r="M155" i="18"/>
  <c r="N155" i="18" s="1"/>
  <c r="R155" i="18" s="1"/>
  <c r="M164" i="18"/>
  <c r="N164" i="18" s="1"/>
  <c r="R164" i="18" s="1"/>
  <c r="M64" i="18"/>
  <c r="N64" i="18" s="1"/>
  <c r="R64" i="18" s="1"/>
  <c r="M94" i="18"/>
  <c r="N94" i="18" s="1"/>
  <c r="R94" i="18" s="1"/>
  <c r="M156" i="18"/>
  <c r="N156" i="18" s="1"/>
  <c r="R156" i="18" s="1"/>
  <c r="M126" i="18"/>
  <c r="N126" i="18" s="1"/>
  <c r="R126" i="18" s="1"/>
  <c r="M200" i="18"/>
  <c r="N200" i="18" s="1"/>
  <c r="R200" i="18" s="1"/>
  <c r="M116" i="18"/>
  <c r="N116" i="18" s="1"/>
  <c r="R116" i="18" s="1"/>
  <c r="M204" i="18"/>
  <c r="N204" i="18" s="1"/>
  <c r="R204" i="18" s="1"/>
  <c r="M79" i="18"/>
  <c r="N79" i="18" s="1"/>
  <c r="R79" i="18" s="1"/>
  <c r="M85" i="18"/>
  <c r="N85" i="18" s="1"/>
  <c r="R85" i="18" s="1"/>
  <c r="M162" i="18"/>
  <c r="N162" i="18" s="1"/>
  <c r="R162" i="18" s="1"/>
  <c r="M104" i="18"/>
  <c r="N104" i="18" s="1"/>
  <c r="R104" i="18" s="1"/>
  <c r="M59" i="18"/>
  <c r="N59" i="18" s="1"/>
  <c r="R59" i="18" s="1"/>
  <c r="M52" i="18"/>
  <c r="N52" i="18" s="1"/>
  <c r="R52" i="18" s="1"/>
  <c r="M134" i="18"/>
  <c r="N134" i="18" s="1"/>
  <c r="R134" i="18" s="1"/>
  <c r="M66" i="18"/>
  <c r="N66" i="18" s="1"/>
  <c r="R66" i="18" s="1"/>
  <c r="M41" i="18"/>
  <c r="N41" i="18" s="1"/>
  <c r="R41" i="18" s="1"/>
  <c r="M23" i="18"/>
  <c r="N23" i="18" s="1"/>
  <c r="R23" i="18" s="1"/>
  <c r="M37" i="18"/>
  <c r="N37" i="18" s="1"/>
  <c r="R37" i="18" s="1"/>
  <c r="M109" i="18"/>
  <c r="N109" i="18" s="1"/>
  <c r="R109" i="18" s="1"/>
  <c r="M36" i="18"/>
  <c r="N36" i="18" s="1"/>
  <c r="R36" i="18" s="1"/>
  <c r="M202" i="18"/>
  <c r="N202" i="18" s="1"/>
  <c r="R202" i="18" s="1"/>
  <c r="M98" i="18"/>
  <c r="N98" i="18" s="1"/>
  <c r="R98" i="18" s="1"/>
  <c r="M137" i="18"/>
  <c r="N137" i="18" s="1"/>
  <c r="R137" i="18" s="1"/>
  <c r="M195" i="18"/>
  <c r="N195" i="18" s="1"/>
  <c r="R195" i="18" s="1"/>
  <c r="M185" i="18"/>
  <c r="N185" i="18" s="1"/>
  <c r="R185" i="18" s="1"/>
  <c r="M96" i="18"/>
  <c r="N96" i="18" s="1"/>
  <c r="R96" i="18" s="1"/>
  <c r="M20" i="18"/>
  <c r="M110" i="18"/>
  <c r="N110" i="18" s="1"/>
  <c r="R110" i="18" s="1"/>
  <c r="M63" i="18"/>
  <c r="N63" i="18" s="1"/>
  <c r="R63" i="18" s="1"/>
  <c r="M106" i="18"/>
  <c r="N106" i="18" s="1"/>
  <c r="R106" i="18" s="1"/>
  <c r="M39" i="18"/>
  <c r="N39" i="18" s="1"/>
  <c r="R39" i="18" s="1"/>
  <c r="M40" i="18"/>
  <c r="N40" i="18" s="1"/>
  <c r="R40" i="18" s="1"/>
  <c r="M201" i="18"/>
  <c r="N201" i="18" s="1"/>
  <c r="R201" i="18" s="1"/>
  <c r="M121" i="18"/>
  <c r="N121" i="18" s="1"/>
  <c r="R121" i="18" s="1"/>
  <c r="M34" i="18"/>
  <c r="N34" i="18" s="1"/>
  <c r="R34" i="18" s="1"/>
  <c r="M99" i="18"/>
  <c r="N99" i="18" s="1"/>
  <c r="R99" i="18" s="1"/>
  <c r="M120" i="18"/>
  <c r="N120" i="18" s="1"/>
  <c r="R120" i="18" s="1"/>
  <c r="M157" i="18"/>
  <c r="N157" i="18" s="1"/>
  <c r="R157" i="18" s="1"/>
  <c r="M154" i="18"/>
  <c r="N154" i="18" s="1"/>
  <c r="R154" i="18" s="1"/>
  <c r="M25" i="18"/>
  <c r="N25" i="18" s="1"/>
  <c r="R25" i="18" s="1"/>
  <c r="M160" i="18"/>
  <c r="N160" i="18" s="1"/>
  <c r="R160" i="18" s="1"/>
  <c r="M170" i="18"/>
  <c r="N170" i="18" s="1"/>
  <c r="R170" i="18" s="1"/>
  <c r="M146" i="18"/>
  <c r="N146" i="18" s="1"/>
  <c r="R146" i="18" s="1"/>
  <c r="M31" i="18"/>
  <c r="N31" i="18" s="1"/>
  <c r="R31" i="18" s="1"/>
  <c r="M48" i="18"/>
  <c r="N48" i="18" s="1"/>
  <c r="R48" i="18" s="1"/>
  <c r="M182" i="18"/>
  <c r="N182" i="18" s="1"/>
  <c r="R182" i="18" s="1"/>
  <c r="M142" i="18"/>
  <c r="N142" i="18" s="1"/>
  <c r="R142" i="18" s="1"/>
  <c r="M101" i="18"/>
  <c r="N101" i="18" s="1"/>
  <c r="R101" i="18" s="1"/>
  <c r="M57" i="18"/>
  <c r="N57" i="18" s="1"/>
  <c r="R57" i="18" s="1"/>
  <c r="M54" i="18"/>
  <c r="N54" i="18" s="1"/>
  <c r="R54" i="18" s="1"/>
  <c r="M118" i="18"/>
  <c r="N118" i="18" s="1"/>
  <c r="R118" i="18" s="1"/>
  <c r="M124" i="18"/>
  <c r="N124" i="18" s="1"/>
  <c r="R124" i="18" s="1"/>
  <c r="M192" i="18"/>
  <c r="N192" i="18" s="1"/>
  <c r="R192" i="18" s="1"/>
  <c r="M38" i="18"/>
  <c r="N38" i="18" s="1"/>
  <c r="R38" i="18" s="1"/>
  <c r="M145" i="18"/>
  <c r="N145" i="18" s="1"/>
  <c r="R145" i="18" s="1"/>
  <c r="M82" i="18"/>
  <c r="N82" i="18" s="1"/>
  <c r="R82" i="18" s="1"/>
  <c r="M92" i="18"/>
  <c r="N92" i="18" s="1"/>
  <c r="R92" i="18" s="1"/>
  <c r="M133" i="18"/>
  <c r="N133" i="18" s="1"/>
  <c r="R133" i="18" s="1"/>
  <c r="M144" i="18"/>
  <c r="N144" i="18" s="1"/>
  <c r="R144" i="18" s="1"/>
  <c r="M45" i="18"/>
  <c r="N45" i="18" s="1"/>
  <c r="R45" i="18" s="1"/>
  <c r="M186" i="18"/>
  <c r="N186" i="18" s="1"/>
  <c r="R186" i="18" s="1"/>
  <c r="M183" i="18"/>
  <c r="N183" i="18" s="1"/>
  <c r="R183" i="18" s="1"/>
  <c r="M49" i="18"/>
  <c r="N49" i="18" s="1"/>
  <c r="R49" i="18" s="1"/>
  <c r="M140" i="18"/>
  <c r="N140" i="18" s="1"/>
  <c r="R140" i="18" s="1"/>
  <c r="M151" i="18"/>
  <c r="N151" i="18" s="1"/>
  <c r="R151" i="18" s="1"/>
  <c r="M127" i="18"/>
  <c r="N127" i="18" s="1"/>
  <c r="R127" i="18" s="1"/>
  <c r="M107" i="18"/>
  <c r="N107" i="18" s="1"/>
  <c r="R107" i="18" s="1"/>
  <c r="M71" i="18"/>
  <c r="N71" i="18" s="1"/>
  <c r="R71" i="18" s="1"/>
  <c r="M147" i="18"/>
  <c r="N147" i="18" s="1"/>
  <c r="R147" i="18" s="1"/>
  <c r="M153" i="18"/>
  <c r="N153" i="18" s="1"/>
  <c r="R153" i="18" s="1"/>
  <c r="M165" i="18"/>
  <c r="N165" i="18" s="1"/>
  <c r="R165" i="18" s="1"/>
  <c r="M175" i="18"/>
  <c r="N175" i="18" s="1"/>
  <c r="R175" i="18" s="1"/>
  <c r="M169" i="18"/>
  <c r="N169" i="18" s="1"/>
  <c r="R169" i="18" s="1"/>
  <c r="M130" i="18"/>
  <c r="N130" i="18" s="1"/>
  <c r="R130" i="18" s="1"/>
  <c r="M77" i="18"/>
  <c r="N77" i="18" s="1"/>
  <c r="R77" i="18" s="1"/>
  <c r="M180" i="18"/>
  <c r="N180" i="18" s="1"/>
  <c r="R180" i="18" s="1"/>
  <c r="M179" i="18"/>
  <c r="N179" i="18" s="1"/>
  <c r="R179" i="18" s="1"/>
  <c r="M158" i="18"/>
  <c r="N158" i="18" s="1"/>
  <c r="R158" i="18" s="1"/>
  <c r="M177" i="18"/>
  <c r="N177" i="18" s="1"/>
  <c r="R177" i="18" s="1"/>
  <c r="M129" i="18"/>
  <c r="N129" i="18" s="1"/>
  <c r="R129" i="18" s="1"/>
  <c r="M212" i="18" l="1"/>
  <c r="N20" i="18"/>
  <c r="M13" i="18"/>
  <c r="N56" i="18"/>
  <c r="R56" i="18" l="1"/>
  <c r="R13" i="18" s="1"/>
  <c r="N13" i="18"/>
  <c r="N14" i="18"/>
  <c r="R20" i="18"/>
  <c r="R212" i="18" l="1"/>
  <c r="R1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J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<sst xmlns="http://schemas.openxmlformats.org/spreadsheetml/2006/main" count="422" uniqueCount="104">
  <si>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</si>
  <si>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</si>
  <si>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</si>
  <si>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</si>
  <si>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</si>
  <si>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</si>
  <si>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</si>
  <si>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</si>
  <si>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</si>
  <si>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</si>
  <si>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</si>
  <si>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</si>
  <si>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</si>
  <si>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</si>
  <si>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</si>
  <si>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</si>
  <si>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</si>
  <si>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</si>
  <si>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</si>
  <si>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</si>
  <si>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</si>
  <si>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</si>
  <si>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</si>
  <si>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</si>
  <si>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</si>
  <si>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</si>
  <si>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</si>
  <si>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</si>
  <si>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</si>
  <si>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</si>
  <si>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</si>
  <si>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</si>
  <si>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</si>
  <si>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</si>
  <si>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</si>
  <si>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</si>
  <si>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</si>
  <si>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</si>
  <si>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</si>
  <si>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</si>
  <si>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</si>
  <si>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True-Up
(</t>
    </r>
    <r>
      <rPr>
        <sz val="10"/>
        <rFont val="Arial"/>
        <family val="2"/>
      </rPr>
      <t>w/o Interest)</t>
    </r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</si>
  <si>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</si>
  <si>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</si>
  <si>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</si>
  <si>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</si>
  <si>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Total
True-Up Surcharge / (Refund)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</si>
  <si>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</si>
  <si>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</si>
  <si>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</si>
  <si>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</si>
  <si>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</si>
  <si>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</si>
  <si>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</si>
  <si>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</si>
  <si>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</si>
  <si>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</si>
  <si>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</si>
  <si>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</si>
  <si>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</si>
  <si>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</si>
  <si>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</si>
  <si>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</si>
  <si>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</si>
  <si>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</si>
  <si>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</si>
  <si>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</si>
  <si>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</si>
  <si>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</si>
  <si>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</si>
  <si>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</si>
  <si>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</si>
  <si>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</si>
  <si>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</si>
  <si>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</si>
  <si>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</si>
  <si>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</si>
  <si>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</si>
  <si>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</si>
  <si>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</si>
  <si>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</si>
  <si>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</si>
  <si>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</si>
  <si>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</si>
  <si>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 xml:space="preserve">    &lt;&lt; OKLAHOMA TRANSMISSION COMPANY &gt;&gt;</t>
  </si>
  <si>
    <t>AEP Oklahoma Transco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</si>
  <si>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</si>
  <si>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</si>
  <si>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</si>
  <si>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</si>
  <si>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</si>
  <si>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</si>
  <si>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</si>
  <si>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</si>
  <si>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</si>
  <si>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</si>
  <si>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</si>
  <si>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</si>
  <si>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(H)</t>
  </si>
  <si>
    <t xml:space="preserve"> (I) = (G) + (H)</t>
  </si>
  <si>
    <t>2017 ROE Refund</t>
  </si>
  <si>
    <t>AEPTCo Formula Rate -- FERC Docket ER18-194</t>
  </si>
  <si>
    <t>Total NITS Surcharge / Refund</t>
  </si>
  <si>
    <t>2021 True Up Including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</si>
</sst>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  <numFmt numFmtId="169" formatCode="0E+00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9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0" fontId="3" fillId="0" borderId="17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20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1" xfId="0" applyBorder="1" applyProtection="1"/>
    <xf numFmtId="0" fontId="9" fillId="3" borderId="22" xfId="0" quotePrefix="1" applyFont="1" applyFill="1" applyBorder="1" applyAlignment="1" applyProtection="1">
      <alignment horizontal="left" vertical="center" wrapText="1"/>
    </xf>
    <xf numFmtId="165" fontId="0" fillId="3" borderId="23" xfId="2" applyNumberFormat="1" applyFont="1" applyFill="1" applyBorder="1" applyAlignment="1" applyProtection="1">
      <alignment vertical="center"/>
    </xf>
    <xf numFmtId="165" fontId="0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165" fontId="3" fillId="3" borderId="27" xfId="2" applyNumberFormat="1" applyFont="1" applyFill="1" applyBorder="1" applyAlignment="1" applyProtection="1">
      <alignment vertical="center"/>
    </xf>
    <xf numFmtId="0" fontId="0" fillId="0" borderId="28" xfId="0" quotePrefix="1" applyBorder="1" applyAlignment="1" applyProtection="1">
      <alignment horizontal="left"/>
    </xf>
    <xf numFmtId="0" fontId="0" fillId="0" borderId="20" xfId="0" applyBorder="1" applyProtection="1"/>
    <xf numFmtId="0" fontId="0" fillId="0" borderId="29" xfId="0" applyBorder="1" applyProtection="1"/>
    <xf numFmtId="0" fontId="9" fillId="0" borderId="22" xfId="0" quotePrefix="1" applyFont="1" applyFill="1" applyBorder="1" applyAlignment="1" applyProtection="1">
      <alignment horizontal="left" vertical="center" wrapText="1"/>
    </xf>
    <xf numFmtId="165" fontId="0" fillId="0" borderId="23" xfId="2" applyNumberFormat="1" applyFont="1" applyFill="1" applyBorder="1" applyAlignment="1" applyProtection="1">
      <alignment vertical="center"/>
    </xf>
    <xf numFmtId="165" fontId="0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5" fontId="3" fillId="0" borderId="27" xfId="2" applyNumberFormat="1" applyFont="1" applyFill="1" applyBorder="1" applyAlignment="1" applyProtection="1">
      <alignment vertical="center"/>
    </xf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5" fontId="0" fillId="0" borderId="34" xfId="2" applyNumberFormat="1" applyFont="1" applyBorder="1" applyAlignment="1" applyProtection="1">
      <alignment vertical="center"/>
    </xf>
    <xf numFmtId="166" fontId="0" fillId="0" borderId="0" xfId="1" applyNumberFormat="1" applyFont="1" applyProtection="1"/>
    <xf numFmtId="166" fontId="0" fillId="0" borderId="0" xfId="0" applyNumberFormat="1" applyProtection="1"/>
    <xf numFmtId="0" fontId="0" fillId="0" borderId="39" xfId="0" applyBorder="1" applyProtection="1"/>
    <xf numFmtId="0" fontId="0" fillId="0" borderId="40" xfId="0" applyBorder="1" applyProtection="1"/>
    <xf numFmtId="0" fontId="0" fillId="0" borderId="39" xfId="0" pivotButton="1" applyBorder="1" applyProtection="1"/>
    <xf numFmtId="0" fontId="0" fillId="0" borderId="41" xfId="0" applyBorder="1" applyProtection="1"/>
    <xf numFmtId="17" fontId="0" fillId="0" borderId="39" xfId="0" applyNumberFormat="1" applyBorder="1" applyProtection="1"/>
    <xf numFmtId="17" fontId="0" fillId="0" borderId="42" xfId="0" applyNumberFormat="1" applyBorder="1" applyProtection="1"/>
    <xf numFmtId="17" fontId="0" fillId="0" borderId="43" xfId="0" applyNumberFormat="1" applyBorder="1" applyProtection="1"/>
    <xf numFmtId="166" fontId="0" fillId="0" borderId="39" xfId="0" applyNumberFormat="1" applyBorder="1" applyProtection="1"/>
    <xf numFmtId="166" fontId="0" fillId="0" borderId="42" xfId="0" applyNumberFormat="1" applyBorder="1" applyProtection="1"/>
    <xf numFmtId="166" fontId="0" fillId="0" borderId="43" xfId="0" applyNumberFormat="1" applyBorder="1" applyProtection="1"/>
    <xf numFmtId="0" fontId="0" fillId="0" borderId="44" xfId="0" applyBorder="1" applyProtection="1"/>
    <xf numFmtId="166" fontId="0" fillId="0" borderId="44" xfId="0" applyNumberFormat="1" applyBorder="1" applyProtection="1"/>
    <xf numFmtId="166" fontId="0" fillId="0" borderId="45" xfId="0" applyNumberFormat="1" applyBorder="1" applyProtection="1"/>
    <xf numFmtId="0" fontId="0" fillId="0" borderId="46" xfId="0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166" fontId="0" fillId="0" borderId="48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7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5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5" xfId="0" quotePrefix="1" applyBorder="1" applyAlignment="1" applyProtection="1">
      <alignment horizontal="right"/>
    </xf>
    <xf numFmtId="0" fontId="0" fillId="0" borderId="24" xfId="0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</xf>
    <xf numFmtId="164" fontId="3" fillId="0" borderId="26" xfId="0" applyNumberFormat="1" applyFont="1" applyBorder="1" applyAlignment="1" applyProtection="1">
      <alignment horizontal="right"/>
    </xf>
    <xf numFmtId="167" fontId="0" fillId="0" borderId="24" xfId="0" applyNumberFormat="1" applyBorder="1" applyAlignment="1" applyProtection="1">
      <alignment horizontal="center"/>
    </xf>
    <xf numFmtId="167" fontId="0" fillId="4" borderId="26" xfId="0" applyNumberFormat="1" applyFill="1" applyBorder="1" applyAlignment="1" applyProtection="1">
      <alignment horizontal="center"/>
    </xf>
    <xf numFmtId="167" fontId="0" fillId="0" borderId="36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9" xfId="0" applyNumberFormat="1" applyFont="1" applyBorder="1" applyAlignment="1" applyProtection="1">
      <alignment horizontal="right"/>
    </xf>
    <xf numFmtId="14" fontId="1" fillId="0" borderId="18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5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5" xfId="0" applyNumberFormat="1" applyFont="1" applyBorder="1" applyAlignment="1" applyProtection="1">
      <alignment horizontal="center"/>
    </xf>
    <xf numFmtId="14" fontId="0" fillId="0" borderId="18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5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7" xfId="0" quotePrefix="1" applyFont="1" applyBorder="1" applyAlignment="1" applyProtection="1">
      <alignment horizontal="center"/>
    </xf>
    <xf numFmtId="164" fontId="4" fillId="0" borderId="23" xfId="0" quotePrefix="1" applyNumberFormat="1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left" vertical="center"/>
    </xf>
    <xf numFmtId="0" fontId="4" fillId="0" borderId="24" xfId="0" quotePrefix="1" applyFont="1" applyBorder="1" applyAlignment="1" applyProtection="1">
      <alignment horizontal="center" vertical="center"/>
    </xf>
    <xf numFmtId="0" fontId="4" fillId="0" borderId="24" xfId="0" quotePrefix="1" applyFont="1" applyBorder="1" applyAlignment="1" applyProtection="1">
      <alignment horizontal="center" vertical="center" wrapText="1"/>
    </xf>
    <xf numFmtId="164" fontId="4" fillId="5" borderId="24" xfId="0" quotePrefix="1" applyNumberFormat="1" applyFont="1" applyFill="1" applyBorder="1" applyAlignment="1" applyProtection="1">
      <alignment horizontal="center" vertical="center" wrapText="1"/>
    </xf>
    <xf numFmtId="164" fontId="4" fillId="0" borderId="24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37" xfId="0" applyNumberFormat="1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20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8" xfId="0" applyNumberFormat="1" applyBorder="1" applyAlignment="1" applyProtection="1">
      <alignment horizontal="center"/>
    </xf>
    <xf numFmtId="14" fontId="1" fillId="0" borderId="38" xfId="0" applyNumberFormat="1" applyFont="1" applyFill="1" applyBorder="1" applyProtection="1"/>
    <xf numFmtId="14" fontId="7" fillId="2" borderId="38" xfId="0" applyNumberFormat="1" applyFont="1" applyFill="1" applyBorder="1" applyAlignment="1" applyProtection="1">
      <alignment horizontal="left"/>
    </xf>
    <xf numFmtId="0" fontId="0" fillId="0" borderId="38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8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64" fontId="1" fillId="0" borderId="37" xfId="0" applyNumberFormat="1" applyFont="1" applyBorder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164" fontId="0" fillId="0" borderId="20" xfId="0" applyNumberForma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49" xfId="0" applyBorder="1" applyProtection="1"/>
    <xf numFmtId="0" fontId="0" fillId="0" borderId="50" xfId="0" applyBorder="1" applyProtection="1"/>
    <xf numFmtId="0" fontId="0" fillId="0" borderId="0" xfId="0" quotePrefix="1" applyBorder="1" applyAlignment="1" applyProtection="1">
      <alignment horizontal="center"/>
    </xf>
    <xf numFmtId="166" fontId="25" fillId="0" borderId="44" xfId="0" applyNumberFormat="1" applyFont="1" applyBorder="1" applyProtection="1"/>
    <xf numFmtId="166" fontId="25" fillId="0" borderId="0" xfId="0" applyNumberFormat="1" applyFont="1" applyProtection="1"/>
    <xf numFmtId="166" fontId="25" fillId="0" borderId="45" xfId="0" applyNumberFormat="1" applyFont="1" applyBorder="1" applyProtection="1"/>
    <xf numFmtId="166" fontId="25" fillId="0" borderId="39" xfId="0" applyNumberFormat="1" applyFont="1" applyBorder="1" applyProtection="1"/>
    <xf numFmtId="166" fontId="25" fillId="0" borderId="42" xfId="0" applyNumberFormat="1" applyFont="1" applyBorder="1" applyProtection="1"/>
    <xf numFmtId="166" fontId="25" fillId="0" borderId="43" xfId="0" applyNumberFormat="1" applyFont="1" applyBorder="1" applyProtection="1"/>
    <xf numFmtId="166" fontId="0" fillId="0" borderId="0" xfId="0" applyNumberFormat="1" applyFill="1" applyBorder="1" applyProtection="1"/>
    <xf numFmtId="43" fontId="0" fillId="0" borderId="0" xfId="0" applyNumberFormat="1" applyProtection="1"/>
    <xf numFmtId="44" fontId="0" fillId="0" borderId="0" xfId="0" applyNumberFormat="1" applyProtection="1"/>
    <xf numFmtId="9" fontId="0" fillId="0" borderId="0" xfId="4" applyNumberFormat="1" applyFont="1" applyProtection="1"/>
    <xf numFmtId="169" fontId="0" fillId="0" borderId="0" xfId="0" applyNumberFormat="1" applyProtection="1"/>
    <xf numFmtId="167" fontId="7" fillId="6" borderId="0" xfId="0" applyNumberFormat="1" applyFont="1" applyFill="1" applyBorder="1" applyAlignment="1" applyProtection="1">
      <alignment horizontal="right"/>
    </xf>
    <xf numFmtId="164" fontId="7" fillId="6" borderId="0" xfId="0" applyNumberFormat="1" applyFont="1" applyFill="1" applyBorder="1" applyAlignment="1" applyProtection="1">
      <alignment horizontal="right"/>
    </xf>
    <xf numFmtId="167" fontId="7" fillId="6" borderId="26" xfId="0" applyNumberFormat="1" applyFont="1" applyFill="1" applyBorder="1" applyAlignment="1" applyProtection="1">
      <alignment horizontal="center"/>
    </xf>
    <xf numFmtId="164" fontId="4" fillId="7" borderId="14" xfId="0" quotePrefix="1" applyNumberFormat="1" applyFont="1" applyFill="1" applyBorder="1" applyAlignment="1" applyProtection="1">
      <alignment horizontal="center" wrapText="1"/>
    </xf>
    <xf numFmtId="0" fontId="4" fillId="8" borderId="24" xfId="0" applyFont="1" applyFill="1" applyBorder="1" applyAlignment="1" applyProtection="1">
      <alignment horizontal="center" vertical="center"/>
    </xf>
    <xf numFmtId="164" fontId="4" fillId="8" borderId="24" xfId="0" quotePrefix="1" applyNumberFormat="1" applyFont="1" applyFill="1" applyBorder="1" applyAlignment="1" applyProtection="1">
      <alignment horizontal="center" vertical="center" wrapText="1"/>
    </xf>
    <xf numFmtId="164" fontId="4" fillId="8" borderId="14" xfId="0" quotePrefix="1" applyNumberFormat="1" applyFont="1" applyFill="1" applyBorder="1" applyAlignment="1" applyProtection="1">
      <alignment horizontal="center" wrapText="1"/>
    </xf>
    <xf numFmtId="164" fontId="5" fillId="8" borderId="0" xfId="0" applyNumberFormat="1" applyFont="1" applyFill="1" applyBorder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177040" refreshedDate="44708.717583912039" createdVersion="6" refreshedVersion="7" recordCount="192" xr:uid="{00000000-000A-0000-FFFF-FFFFAE000000}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1-12-02T00:00:00" count="144"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20-05-01T00:00:00" u="1"/>
        <d v="2010-11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20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20-06-01T00:00:00" u="1"/>
        <d v="2010-12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20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20-01-01T00:00:00" u="1"/>
        <d v="2010-07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20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20-02-01T00:00:00" u="1"/>
        <d v="2010-08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20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20-03-01T00:00:00" u="1"/>
        <d v="2010-09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20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20-04-01T00:00:00" u="1"/>
        <d v="2010-10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20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1-02-03T00:00:00" maxDate="2022-01-06T00:00:00"/>
    </cacheField>
    <cacheField name="Payment Received*" numFmtId="14">
      <sharedItems containsSemiMixedTypes="0" containsNonDate="0" containsDate="1" containsString="0" minDate="2021-02-24T00:00:00" maxDate="2022-01-25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029"/>
    </cacheField>
    <cacheField name="Projected Rate (as Invoiced)" numFmtId="164">
      <sharedItems containsSemiMixedTypes="0" containsString="0" containsNumber="1" minValue="1177.4939874727397" maxValue="1177.4939874727397"/>
    </cacheField>
    <cacheField name="Actual True-Up Rate" numFmtId="164">
      <sharedItems containsSemiMixedTypes="0" containsString="0" containsNumber="1" minValue="1176.0435370430484" maxValue="1176.0435370430484"/>
    </cacheField>
    <cacheField name="True-Up Charge" numFmtId="164">
      <sharedItems containsSemiMixedTypes="0" containsString="0" containsNumber="1" minValue="1176.0435370430484" maxValue="4738279.4107464422"/>
    </cacheField>
    <cacheField name="Invoiced*** Charge (proj.)" numFmtId="164">
      <sharedItems containsSemiMixedTypes="0" containsString="0" containsNumber="1" minValue="1177.4939874727397" maxValue="4744123.2755276682"/>
    </cacheField>
    <cacheField name="True-Up w/o Interest" numFmtId="164">
      <sharedItems containsSemiMixedTypes="0" containsString="0" containsNumber="1" minValue="-5843.8647812260315" maxValue="-1.4504504296912728"/>
    </cacheField>
    <cacheField name="Interest" numFmtId="164">
      <sharedItems containsSemiMixedTypes="0" containsString="0" containsNumber="1" minValue="-181.92391465024059" maxValue="-4.5153614954142607E-2"/>
    </cacheField>
    <cacheField name="2021 True Up Including Interest" numFmtId="164">
      <sharedItems containsSemiMixedTypes="0" containsString="0" containsNumber="1" minValue="-6025.788695876272" maxValue="-1.4956040446454155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-6025.788695876272" maxValue="-1.49560404464541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d v="2021-02-03T00:00:00"/>
    <d v="2021-02-24T00:00:00"/>
    <x v="0"/>
    <n v="9"/>
    <n v="2536"/>
    <n v="1177.4939874727397"/>
    <n v="1176.0435370430484"/>
    <n v="2982446.4099411708"/>
    <n v="2986124.7522308677"/>
    <n v="-3678.3422896969132"/>
    <n v="-114.50956752370567"/>
    <n v="-3792.851857220619"/>
    <n v="0"/>
    <n v="0"/>
    <n v="0"/>
    <n v="-3792.851857220619"/>
  </r>
  <r>
    <x v="1"/>
    <d v="2021-03-03T00:00:00"/>
    <d v="2021-03-24T00:00:00"/>
    <x v="0"/>
    <n v="9"/>
    <n v="2976"/>
    <n v="1177.4939874727397"/>
    <n v="1176.0435370430484"/>
    <n v="3499905.5662401123"/>
    <n v="3504222.1067188736"/>
    <n v="-4316.5404787613079"/>
    <n v="-134.37715810352842"/>
    <n v="-4450.9176368648359"/>
    <n v="0"/>
    <n v="0"/>
    <n v="0"/>
    <n v="-4450.9176368648359"/>
  </r>
  <r>
    <x v="2"/>
    <d v="2021-04-05T00:00:00"/>
    <d v="2021-04-26T00:00:00"/>
    <x v="0"/>
    <n v="9"/>
    <n v="2203"/>
    <n v="1177.4939874727397"/>
    <n v="1176.0435370430484"/>
    <n v="2590823.9121058355"/>
    <n v="2594019.2544024456"/>
    <n v="-3195.3422966101207"/>
    <n v="-99.473413743976181"/>
    <n v="-3294.8157103540971"/>
    <n v="0"/>
    <n v="0"/>
    <n v="0"/>
    <n v="-3294.8157103540971"/>
  </r>
  <r>
    <x v="3"/>
    <d v="2021-05-05T00:00:00"/>
    <d v="2021-05-24T00:00:00"/>
    <x v="0"/>
    <n v="9"/>
    <n v="2146"/>
    <n v="1177.4939874727397"/>
    <n v="1176.0435370430484"/>
    <n v="2523789.430494382"/>
    <n v="2526902.0971164992"/>
    <n v="-3112.6666221171618"/>
    <n v="-96.89965769159005"/>
    <n v="-3209.5662798087519"/>
    <n v="0"/>
    <n v="0"/>
    <n v="0"/>
    <n v="-3209.5662798087519"/>
  </r>
  <r>
    <x v="4"/>
    <d v="2021-06-03T00:00:00"/>
    <d v="2021-06-24T00:00:00"/>
    <x v="0"/>
    <n v="9"/>
    <n v="2961"/>
    <n v="1177.4939874727397"/>
    <n v="1176.0435370430484"/>
    <n v="3482264.9131844663"/>
    <n v="3486559.6969067822"/>
    <n v="-4294.7837223159149"/>
    <n v="-133.69985387921628"/>
    <n v="-4428.4835761951308"/>
    <n v="0"/>
    <n v="0"/>
    <n v="0"/>
    <n v="-4428.4835761951308"/>
  </r>
  <r>
    <x v="5"/>
    <d v="2021-07-06T00:00:00"/>
    <d v="2021-07-24T00:00:00"/>
    <x v="0"/>
    <n v="9"/>
    <n v="3827"/>
    <n v="1177.4939874727397"/>
    <n v="1176.0435370430484"/>
    <n v="4500718.6162637463"/>
    <n v="4506269.4900581753"/>
    <n v="-5550.8737944290042"/>
    <n v="-172.80288442950376"/>
    <n v="-5723.6766788585082"/>
    <n v="0"/>
    <n v="0"/>
    <n v="0"/>
    <n v="-5723.6766788585082"/>
  </r>
  <r>
    <x v="6"/>
    <d v="2021-08-04T00:00:00"/>
    <d v="2021-08-24T00:00:00"/>
    <x v="0"/>
    <n v="9"/>
    <n v="3938"/>
    <n v="1177.4939874727397"/>
    <n v="1176.0435370430484"/>
    <n v="4631259.448875525"/>
    <n v="4636971.322667649"/>
    <n v="-5711.8737921239808"/>
    <n v="-177.8149356894136"/>
    <n v="-5889.6887278133945"/>
    <n v="0"/>
    <n v="0"/>
    <n v="0"/>
    <n v="-5889.6887278133945"/>
  </r>
  <r>
    <x v="7"/>
    <d v="2021-09-03T00:00:00"/>
    <d v="2021-09-24T00:00:00"/>
    <x v="0"/>
    <n v="9"/>
    <n v="4002"/>
    <n v="1177.4939874727397"/>
    <n v="1176.0435370430484"/>
    <n v="4706526.2352462802"/>
    <n v="4712330.9378659045"/>
    <n v="-5804.7026196243241"/>
    <n v="-180.70476704647874"/>
    <n v="-5985.4073866708031"/>
    <n v="0"/>
    <n v="0"/>
    <n v="0"/>
    <n v="-5985.4073866708031"/>
  </r>
  <r>
    <x v="8"/>
    <d v="2021-10-05T00:00:00"/>
    <d v="2021-10-25T00:00:00"/>
    <x v="0"/>
    <n v="9"/>
    <n v="4029"/>
    <n v="1177.4939874727397"/>
    <n v="1176.0435370430484"/>
    <n v="4738279.4107464422"/>
    <n v="4744123.2755276682"/>
    <n v="-5843.8647812260315"/>
    <n v="-181.92391465024059"/>
    <n v="-6025.788695876272"/>
    <n v="0"/>
    <n v="0"/>
    <n v="0"/>
    <n v="-6025.788695876272"/>
  </r>
  <r>
    <x v="9"/>
    <d v="2021-11-03T00:00:00"/>
    <d v="2021-11-24T00:00:00"/>
    <x v="0"/>
    <n v="9"/>
    <n v="3123"/>
    <n v="1177.4939874727397"/>
    <n v="1176.0435370430484"/>
    <n v="3672783.9661854403"/>
    <n v="3677313.722877366"/>
    <n v="-4529.7566919256933"/>
    <n v="-141.01473950178737"/>
    <n v="-4670.7714314274808"/>
    <n v="0"/>
    <n v="0"/>
    <n v="0"/>
    <n v="-4670.7714314274808"/>
  </r>
  <r>
    <x v="10"/>
    <d v="2021-12-03T00:00:00"/>
    <d v="2021-12-27T00:00:00"/>
    <x v="0"/>
    <n v="9"/>
    <n v="2263"/>
    <n v="1177.4939874727397"/>
    <n v="1176.0435370430484"/>
    <n v="2661386.5243284185"/>
    <n v="2664668.8936508098"/>
    <n v="-3282.3693223912269"/>
    <n v="-102.18263064122473"/>
    <n v="-3384.5519530324518"/>
    <n v="0"/>
    <n v="0"/>
    <n v="0"/>
    <n v="-3384.5519530324518"/>
  </r>
  <r>
    <x v="11"/>
    <d v="2022-01-05T00:00:00"/>
    <d v="2022-01-24T00:00:00"/>
    <x v="0"/>
    <n v="9"/>
    <n v="2379"/>
    <n v="1177.4939874727397"/>
    <n v="1176.0435370430484"/>
    <n v="2797807.5746254125"/>
    <n v="2801258.1961976476"/>
    <n v="-3450.6215722351335"/>
    <n v="-107.42044997590527"/>
    <n v="-3558.0420222110388"/>
    <n v="0"/>
    <n v="0"/>
    <n v="0"/>
    <n v="-3558.0420222110388"/>
  </r>
  <r>
    <x v="0"/>
    <d v="2021-02-03T00:00:00"/>
    <d v="2021-02-24T00:00:00"/>
    <x v="1"/>
    <n v="9"/>
    <n v="2771"/>
    <n v="1177.4939874727397"/>
    <n v="1176.0435370430484"/>
    <n v="3258816.6411462873"/>
    <n v="3262835.8392869616"/>
    <n v="-4019.1981406742707"/>
    <n v="-125.12066703792918"/>
    <n v="-4144.3188077121995"/>
    <n v="0"/>
    <n v="0"/>
    <n v="0"/>
    <n v="-4144.3188077121995"/>
  </r>
  <r>
    <x v="1"/>
    <d v="2021-03-03T00:00:00"/>
    <d v="2021-03-24T00:00:00"/>
    <x v="1"/>
    <n v="9"/>
    <n v="3136"/>
    <n v="1177.4939874727397"/>
    <n v="1176.0435370430484"/>
    <n v="3688072.5321669998"/>
    <n v="3692621.1447145119"/>
    <n v="-4548.6125475121662"/>
    <n v="-141.60173649619125"/>
    <n v="-4690.214284008357"/>
    <n v="0"/>
    <n v="0"/>
    <n v="0"/>
    <n v="-4690.214284008357"/>
  </r>
  <r>
    <x v="2"/>
    <d v="2021-04-05T00:00:00"/>
    <d v="2021-04-26T00:00:00"/>
    <x v="1"/>
    <n v="9"/>
    <n v="2339"/>
    <n v="1177.4939874727397"/>
    <n v="1176.0435370430484"/>
    <n v="2750765.8331436901"/>
    <n v="2754158.436698738"/>
    <n v="-3392.6035550478846"/>
    <n v="-105.61430537773957"/>
    <n v="-3498.2178604256242"/>
    <n v="0"/>
    <n v="0"/>
    <n v="0"/>
    <n v="-3498.2178604256242"/>
  </r>
  <r>
    <x v="3"/>
    <d v="2021-05-05T00:00:00"/>
    <d v="2021-05-24T00:00:00"/>
    <x v="1"/>
    <n v="9"/>
    <n v="2394"/>
    <n v="1177.4939874727397"/>
    <n v="1176.0435370430484"/>
    <n v="2815448.227681058"/>
    <n v="2818920.606009739"/>
    <n v="-3472.3783286809921"/>
    <n v="-108.09775420021741"/>
    <n v="-3580.4760828812095"/>
    <n v="0"/>
    <n v="0"/>
    <n v="0"/>
    <n v="-3580.4760828812095"/>
  </r>
  <r>
    <x v="4"/>
    <d v="2021-06-03T00:00:00"/>
    <d v="2021-06-24T00:00:00"/>
    <x v="1"/>
    <n v="9"/>
    <n v="2807"/>
    <n v="1177.4939874727397"/>
    <n v="1176.0435370430484"/>
    <n v="3301154.208479837"/>
    <n v="3305225.6228359803"/>
    <n v="-4071.4143561432138"/>
    <n v="-126.7461971762783"/>
    <n v="-4198.1605533194925"/>
    <n v="0"/>
    <n v="0"/>
    <n v="0"/>
    <n v="-4198.1605533194925"/>
  </r>
  <r>
    <x v="5"/>
    <d v="2021-07-06T00:00:00"/>
    <d v="2021-07-24T00:00:00"/>
    <x v="1"/>
    <n v="9"/>
    <n v="3345"/>
    <n v="1177.4939874727397"/>
    <n v="1176.0435370430484"/>
    <n v="3933865.6314089969"/>
    <n v="3938717.3880963144"/>
    <n v="-4851.7566873175092"/>
    <n v="-151.03884202160705"/>
    <n v="-5002.795529339116"/>
    <n v="0"/>
    <n v="0"/>
    <n v="0"/>
    <n v="-5002.795529339116"/>
  </r>
  <r>
    <x v="6"/>
    <d v="2021-08-04T00:00:00"/>
    <d v="2021-08-24T00:00:00"/>
    <x v="1"/>
    <n v="9"/>
    <n v="3525"/>
    <n v="1177.4939874727397"/>
    <n v="1176.0435370430484"/>
    <n v="4145553.468076746"/>
    <n v="4150666.3058414077"/>
    <n v="-5112.8377646617591"/>
    <n v="-159.16649271335271"/>
    <n v="-5272.0042573751116"/>
    <n v="0"/>
    <n v="0"/>
    <n v="0"/>
    <n v="-5272.0042573751116"/>
  </r>
  <r>
    <x v="7"/>
    <d v="2021-09-03T00:00:00"/>
    <d v="2021-09-24T00:00:00"/>
    <x v="1"/>
    <n v="9"/>
    <n v="3514"/>
    <n v="1177.4939874727397"/>
    <n v="1176.0435370430484"/>
    <n v="4132616.9891692721"/>
    <n v="4137713.8719792073"/>
    <n v="-5096.8828099351376"/>
    <n v="-158.66980294885713"/>
    <n v="-5255.5526128839947"/>
    <n v="0"/>
    <n v="0"/>
    <n v="0"/>
    <n v="-5255.5526128839947"/>
  </r>
  <r>
    <x v="8"/>
    <d v="2021-10-05T00:00:00"/>
    <d v="2021-10-25T00:00:00"/>
    <x v="1"/>
    <n v="9"/>
    <n v="3486"/>
    <n v="1177.4939874727397"/>
    <n v="1176.0435370430484"/>
    <n v="4099687.7701320667"/>
    <n v="4104744.0403299709"/>
    <n v="-5056.2701979042031"/>
    <n v="-157.40550173014117"/>
    <n v="-5213.6756996343447"/>
    <n v="0"/>
    <n v="0"/>
    <n v="0"/>
    <n v="-5213.6756996343447"/>
  </r>
  <r>
    <x v="9"/>
    <d v="2021-11-03T00:00:00"/>
    <d v="2021-11-24T00:00:00"/>
    <x v="1"/>
    <n v="9"/>
    <n v="2777"/>
    <n v="1177.4939874727397"/>
    <n v="1176.0435370430484"/>
    <n v="3265872.9023685455"/>
    <n v="3269900.8032117984"/>
    <n v="-4027.9008432528935"/>
    <n v="-125.39158872765404"/>
    <n v="-4153.2924319805479"/>
    <n v="0"/>
    <n v="0"/>
    <n v="0"/>
    <n v="-4153.2924319805479"/>
  </r>
  <r>
    <x v="10"/>
    <d v="2021-12-03T00:00:00"/>
    <d v="2021-12-27T00:00:00"/>
    <x v="1"/>
    <n v="9"/>
    <n v="2284"/>
    <n v="1177.4939874727397"/>
    <n v="1176.0435370430484"/>
    <n v="2686083.4386063227"/>
    <n v="2689396.2673877375"/>
    <n v="-3312.828781414777"/>
    <n v="-103.13085655526173"/>
    <n v="-3415.9596379700388"/>
    <n v="0"/>
    <n v="0"/>
    <n v="0"/>
    <n v="-3415.9596379700388"/>
  </r>
  <r>
    <x v="11"/>
    <d v="2022-01-05T00:00:00"/>
    <d v="2022-01-24T00:00:00"/>
    <x v="1"/>
    <n v="9"/>
    <n v="2425"/>
    <n v="1177.4939874727397"/>
    <n v="1176.0435370430484"/>
    <n v="2851905.5773293925"/>
    <n v="2855422.919621394"/>
    <n v="-3517.3422920014709"/>
    <n v="-109.49751626379583"/>
    <n v="-3626.8398082652666"/>
    <n v="0"/>
    <n v="0"/>
    <n v="0"/>
    <n v="-3626.8398082652666"/>
  </r>
  <r>
    <x v="0"/>
    <d v="2021-02-03T00:00:00"/>
    <d v="2021-02-24T00:00:00"/>
    <x v="2"/>
    <n v="9"/>
    <n v="146"/>
    <n v="1177.4939874727397"/>
    <n v="1176.0435370430484"/>
    <n v="171702.35640828506"/>
    <n v="171914.12217101999"/>
    <n v="-211.76576273492537"/>
    <n v="-6.5924277833048217"/>
    <n v="-218.3581905182302"/>
    <n v="0"/>
    <n v="0"/>
    <n v="0"/>
    <n v="-218.3581905182302"/>
  </r>
  <r>
    <x v="1"/>
    <d v="2021-03-03T00:00:00"/>
    <d v="2021-03-24T00:00:00"/>
    <x v="2"/>
    <n v="9"/>
    <n v="212"/>
    <n v="1177.4939874727397"/>
    <n v="1176.0435370430484"/>
    <n v="249321.22985312628"/>
    <n v="249628.72534422082"/>
    <n v="-307.49549109453801"/>
    <n v="-9.5725663702782349"/>
    <n v="-317.06805746481626"/>
    <n v="0"/>
    <n v="0"/>
    <n v="0"/>
    <n v="-317.06805746481626"/>
  </r>
  <r>
    <x v="2"/>
    <d v="2021-04-05T00:00:00"/>
    <d v="2021-04-26T00:00:00"/>
    <x v="2"/>
    <n v="9"/>
    <n v="125"/>
    <n v="1177.4939874727397"/>
    <n v="1176.0435370430484"/>
    <n v="147005.44213038107"/>
    <n v="147186.74843409247"/>
    <n v="-181.30630371140433"/>
    <n v="-5.6442018692678264"/>
    <n v="-186.95050558067214"/>
    <n v="0"/>
    <n v="0"/>
    <n v="0"/>
    <n v="-186.95050558067214"/>
  </r>
  <r>
    <x v="3"/>
    <d v="2021-05-05T00:00:00"/>
    <d v="2021-05-24T00:00:00"/>
    <x v="2"/>
    <n v="9"/>
    <n v="92"/>
    <n v="1177.4939874727397"/>
    <n v="1176.0435370430484"/>
    <n v="108196.00540796046"/>
    <n v="108329.44684749206"/>
    <n v="-133.44143953159801"/>
    <n v="-4.1541325757811203"/>
    <n v="-137.59557210737913"/>
    <n v="0"/>
    <n v="0"/>
    <n v="0"/>
    <n v="-137.59557210737913"/>
  </r>
  <r>
    <x v="4"/>
    <d v="2021-06-03T00:00:00"/>
    <d v="2021-06-24T00:00:00"/>
    <x v="2"/>
    <n v="9"/>
    <n v="102"/>
    <n v="1177.4939874727397"/>
    <n v="1176.0435370430484"/>
    <n v="119956.44077839094"/>
    <n v="120104.38672221945"/>
    <n v="-147.9459438285121"/>
    <n v="-4.6056687253225466"/>
    <n v="-152.55161255383464"/>
    <n v="0"/>
    <n v="0"/>
    <n v="0"/>
    <n v="-152.55161255383464"/>
  </r>
  <r>
    <x v="5"/>
    <d v="2021-07-06T00:00:00"/>
    <d v="2021-07-24T00:00:00"/>
    <x v="2"/>
    <n v="9"/>
    <n v="124"/>
    <n v="1177.4939874727397"/>
    <n v="1176.0435370430484"/>
    <n v="145829.398593338"/>
    <n v="146009.25444661971"/>
    <n v="-179.85585328171146"/>
    <n v="-5.5990482543136837"/>
    <n v="-185.45490153602515"/>
    <n v="0"/>
    <n v="0"/>
    <n v="0"/>
    <n v="-185.45490153602515"/>
  </r>
  <r>
    <x v="6"/>
    <d v="2021-08-04T00:00:00"/>
    <d v="2021-08-24T00:00:00"/>
    <x v="2"/>
    <n v="9"/>
    <n v="138"/>
    <n v="1177.4939874727397"/>
    <n v="1176.0435370430484"/>
    <n v="162294.0081119407"/>
    <n v="162494.17027123808"/>
    <n v="-200.16215929738246"/>
    <n v="-6.2311988636716809"/>
    <n v="-206.39335816105415"/>
    <n v="0"/>
    <n v="0"/>
    <n v="0"/>
    <n v="-206.39335816105415"/>
  </r>
  <r>
    <x v="7"/>
    <d v="2021-09-03T00:00:00"/>
    <d v="2021-09-24T00:00:00"/>
    <x v="2"/>
    <n v="9"/>
    <n v="140"/>
    <n v="1177.4939874727397"/>
    <n v="1176.0435370430484"/>
    <n v="164646.0951860268"/>
    <n v="164849.15824618356"/>
    <n v="-203.06306015676819"/>
    <n v="-6.3215060935799663"/>
    <n v="-209.38456625034814"/>
    <n v="0"/>
    <n v="0"/>
    <n v="0"/>
    <n v="-209.38456625034814"/>
  </r>
  <r>
    <x v="8"/>
    <d v="2021-10-05T00:00:00"/>
    <d v="2021-10-25T00:00:00"/>
    <x v="2"/>
    <n v="9"/>
    <n v="140"/>
    <n v="1177.4939874727397"/>
    <n v="1176.0435370430484"/>
    <n v="164646.0951860268"/>
    <n v="164849.15824618356"/>
    <n v="-203.06306015676819"/>
    <n v="-6.3215060935799663"/>
    <n v="-209.38456625034814"/>
    <n v="0"/>
    <n v="0"/>
    <n v="0"/>
    <n v="-209.38456625034814"/>
  </r>
  <r>
    <x v="9"/>
    <d v="2021-11-03T00:00:00"/>
    <d v="2021-11-24T00:00:00"/>
    <x v="2"/>
    <n v="9"/>
    <n v="106"/>
    <n v="1177.4939874727397"/>
    <n v="1176.0435370430484"/>
    <n v="124660.61492656314"/>
    <n v="124814.36267211041"/>
    <n v="-153.74774554726901"/>
    <n v="-4.7862831851391174"/>
    <n v="-158.53402873240813"/>
    <n v="0"/>
    <n v="0"/>
    <n v="0"/>
    <n v="-158.53402873240813"/>
  </r>
  <r>
    <x v="10"/>
    <d v="2021-12-03T00:00:00"/>
    <d v="2021-12-27T00:00:00"/>
    <x v="2"/>
    <n v="9"/>
    <n v="107"/>
    <n v="1177.4939874727397"/>
    <n v="1176.0435370430484"/>
    <n v="125836.65846360619"/>
    <n v="125991.85665958315"/>
    <n v="-155.19819597696187"/>
    <n v="-4.8314368000932602"/>
    <n v="-160.02963277705513"/>
    <n v="0"/>
    <n v="0"/>
    <n v="0"/>
    <n v="-160.02963277705513"/>
  </r>
  <r>
    <x v="11"/>
    <d v="2022-01-05T00:00:00"/>
    <d v="2022-01-24T00:00:00"/>
    <x v="2"/>
    <n v="9"/>
    <n v="110"/>
    <n v="1177.4939874727397"/>
    <n v="1176.0435370430484"/>
    <n v="129364.78907473532"/>
    <n v="129524.33862200136"/>
    <n v="-159.54954726604046"/>
    <n v="-4.9668976449556874"/>
    <n v="-164.51644491099614"/>
    <n v="0"/>
    <n v="0"/>
    <n v="0"/>
    <n v="-164.51644491099614"/>
  </r>
  <r>
    <x v="0"/>
    <d v="2021-02-03T00:00:00"/>
    <d v="2021-02-24T00:00:00"/>
    <x v="3"/>
    <n v="9"/>
    <n v="767"/>
    <n v="1177.4939874727397"/>
    <n v="1176.0435370430484"/>
    <n v="902025.39291201811"/>
    <n v="903137.88839159138"/>
    <n v="-1112.4954795732629"/>
    <n v="-34.632822669827384"/>
    <n v="-1147.1283022430903"/>
    <n v="0"/>
    <n v="0"/>
    <n v="0"/>
    <n v="-1147.1283022430903"/>
  </r>
  <r>
    <x v="1"/>
    <d v="2021-03-03T00:00:00"/>
    <d v="2021-03-24T00:00:00"/>
    <x v="3"/>
    <n v="9"/>
    <n v="1062"/>
    <n v="1177.4939874727397"/>
    <n v="1176.0435370430484"/>
    <n v="1248958.2363397174"/>
    <n v="1250498.6146960496"/>
    <n v="-1540.3783563321922"/>
    <n v="-47.953139081299454"/>
    <n v="-1588.3314954134917"/>
    <n v="0"/>
    <n v="0"/>
    <n v="0"/>
    <n v="-1588.3314954134917"/>
  </r>
  <r>
    <x v="2"/>
    <d v="2021-04-05T00:00:00"/>
    <d v="2021-04-26T00:00:00"/>
    <x v="3"/>
    <n v="9"/>
    <n v="599"/>
    <n v="1177.4939874727397"/>
    <n v="1176.0435370430484"/>
    <n v="704450.07868878602"/>
    <n v="705318.89849617111"/>
    <n v="-868.81980738509446"/>
    <n v="-27.047015357531425"/>
    <n v="-895.86682274262591"/>
    <n v="0"/>
    <n v="0"/>
    <n v="0"/>
    <n v="-895.86682274262591"/>
  </r>
  <r>
    <x v="3"/>
    <d v="2021-05-05T00:00:00"/>
    <d v="2021-05-24T00:00:00"/>
    <x v="3"/>
    <n v="9"/>
    <n v="447"/>
    <n v="1177.4939874727397"/>
    <n v="1176.0435370430484"/>
    <n v="525691.46105824271"/>
    <n v="526339.81240031461"/>
    <n v="-648.35134207189549"/>
    <n v="-20.183665884501746"/>
    <n v="-668.53500795639718"/>
    <n v="0"/>
    <n v="0"/>
    <n v="0"/>
    <n v="-668.53500795639718"/>
  </r>
  <r>
    <x v="4"/>
    <d v="2021-06-03T00:00:00"/>
    <d v="2021-06-24T00:00:00"/>
    <x v="3"/>
    <n v="9"/>
    <n v="603"/>
    <n v="1177.4939874727397"/>
    <n v="1176.0435370430484"/>
    <n v="709154.25283695816"/>
    <n v="710028.87444606202"/>
    <n v="-874.62160910386592"/>
    <n v="-27.227629817347992"/>
    <n v="-901.8492389212139"/>
    <n v="0"/>
    <n v="0"/>
    <n v="0"/>
    <n v="-901.8492389212139"/>
  </r>
  <r>
    <x v="5"/>
    <d v="2021-07-06T00:00:00"/>
    <d v="2021-07-24T00:00:00"/>
    <x v="3"/>
    <n v="9"/>
    <n v="840"/>
    <n v="1177.4939874727397"/>
    <n v="1176.0435370430484"/>
    <n v="987876.57111616072"/>
    <n v="989094.94947710133"/>
    <n v="-1218.3783609406091"/>
    <n v="-37.929036561479798"/>
    <n v="-1256.3073975020889"/>
    <n v="0"/>
    <n v="0"/>
    <n v="0"/>
    <n v="-1256.3073975020889"/>
  </r>
  <r>
    <x v="6"/>
    <d v="2021-08-04T00:00:00"/>
    <d v="2021-08-24T00:00:00"/>
    <x v="3"/>
    <n v="9"/>
    <n v="926"/>
    <n v="1177.4939874727397"/>
    <n v="1176.0435370430484"/>
    <n v="1089016.3153018628"/>
    <n v="1090359.432399757"/>
    <n v="-1343.1170978941955"/>
    <n v="-41.812247447536052"/>
    <n v="-1384.9293453417315"/>
    <n v="0"/>
    <n v="0"/>
    <n v="0"/>
    <n v="-1384.9293453417315"/>
  </r>
  <r>
    <x v="7"/>
    <d v="2021-09-03T00:00:00"/>
    <d v="2021-09-24T00:00:00"/>
    <x v="3"/>
    <n v="9"/>
    <n v="943"/>
    <n v="1177.4939874727397"/>
    <n v="1176.0435370430484"/>
    <n v="1109009.0554315946"/>
    <n v="1110376.8301867936"/>
    <n v="-1367.7747551989742"/>
    <n v="-42.579858901756488"/>
    <n v="-1410.3546141007307"/>
    <n v="0"/>
    <n v="0"/>
    <n v="0"/>
    <n v="-1410.3546141007307"/>
  </r>
  <r>
    <x v="8"/>
    <d v="2021-10-05T00:00:00"/>
    <d v="2021-10-25T00:00:00"/>
    <x v="3"/>
    <n v="9"/>
    <n v="913"/>
    <n v="1177.4939874727397"/>
    <n v="1176.0435370430484"/>
    <n v="1073727.7493203033"/>
    <n v="1075052.0105626113"/>
    <n v="-1324.2612423079554"/>
    <n v="-41.225250453132205"/>
    <n v="-1365.4864927610877"/>
    <n v="0"/>
    <n v="0"/>
    <n v="0"/>
    <n v="-1365.4864927610877"/>
  </r>
  <r>
    <x v="9"/>
    <d v="2021-11-03T00:00:00"/>
    <d v="2021-11-24T00:00:00"/>
    <x v="3"/>
    <n v="9"/>
    <n v="681"/>
    <n v="1177.4939874727397"/>
    <n v="1176.0435370430484"/>
    <n v="800885.64872631594"/>
    <n v="801873.40546893573"/>
    <n v="-987.75674261979293"/>
    <n v="-30.749611783771119"/>
    <n v="-1018.506354403564"/>
    <n v="0"/>
    <n v="0"/>
    <n v="0"/>
    <n v="-1018.506354403564"/>
  </r>
  <r>
    <x v="10"/>
    <d v="2021-12-03T00:00:00"/>
    <d v="2021-12-27T00:00:00"/>
    <x v="3"/>
    <n v="9"/>
    <n v="652"/>
    <n v="1177.4939874727397"/>
    <n v="1176.0435370430484"/>
    <n v="766780.38615206757"/>
    <n v="767726.07983222627"/>
    <n v="-945.69368015869986"/>
    <n v="-29.440156950100981"/>
    <n v="-975.13383710880089"/>
    <n v="0"/>
    <n v="0"/>
    <n v="0"/>
    <n v="-975.13383710880089"/>
  </r>
  <r>
    <x v="11"/>
    <d v="2022-01-05T00:00:00"/>
    <d v="2022-01-24T00:00:00"/>
    <x v="3"/>
    <n v="9"/>
    <n v="634"/>
    <n v="1177.4939874727397"/>
    <n v="1176.0435370430484"/>
    <n v="745611.60248529271"/>
    <n v="746531.18805771694"/>
    <n v="-919.5855724242283"/>
    <n v="-28.627391880926417"/>
    <n v="-948.21296430515474"/>
    <n v="0"/>
    <n v="0"/>
    <n v="0"/>
    <n v="-948.21296430515474"/>
  </r>
  <r>
    <x v="0"/>
    <d v="2021-02-03T00:00:00"/>
    <d v="2021-02-24T00:00:00"/>
    <x v="4"/>
    <n v="9"/>
    <n v="38"/>
    <n v="1177.4939874727397"/>
    <n v="1176.0435370430484"/>
    <n v="44689.65440763584"/>
    <n v="44744.771523964111"/>
    <n v="-55.11711632827064"/>
    <n v="-1.7158373682574193"/>
    <n v="-56.832953696528058"/>
    <n v="0"/>
    <n v="0"/>
    <n v="0"/>
    <n v="-56.832953696528058"/>
  </r>
  <r>
    <x v="1"/>
    <d v="2021-03-03T00:00:00"/>
    <d v="2021-03-24T00:00:00"/>
    <x v="4"/>
    <n v="9"/>
    <n v="60"/>
    <n v="1177.4939874727397"/>
    <n v="1176.0435370430484"/>
    <n v="70562.612222582902"/>
    <n v="70649.639248364387"/>
    <n v="-87.027025781484554"/>
    <n v="-2.7092168972485569"/>
    <n v="-89.736242678733106"/>
    <n v="0"/>
    <n v="0"/>
    <n v="0"/>
    <n v="-89.736242678733106"/>
  </r>
  <r>
    <x v="2"/>
    <d v="2021-04-05T00:00:00"/>
    <d v="2021-04-26T00:00:00"/>
    <x v="4"/>
    <n v="9"/>
    <n v="31"/>
    <n v="1177.4939874727397"/>
    <n v="1176.0435370430484"/>
    <n v="36457.349648334501"/>
    <n v="36502.313611654929"/>
    <n v="-44.963963320427865"/>
    <n v="-1.3997620635784209"/>
    <n v="-46.363725384006287"/>
    <n v="0"/>
    <n v="0"/>
    <n v="0"/>
    <n v="-46.363725384006287"/>
  </r>
  <r>
    <x v="3"/>
    <d v="2021-05-05T00:00:00"/>
    <d v="2021-05-24T00:00:00"/>
    <x v="4"/>
    <n v="9"/>
    <n v="20"/>
    <n v="1177.4939874727397"/>
    <n v="1176.0435370430484"/>
    <n v="23520.87074086097"/>
    <n v="23549.879749454794"/>
    <n v="-29.009008593824547"/>
    <n v="-0.90307229908285225"/>
    <n v="-29.912080892907397"/>
    <n v="0"/>
    <n v="0"/>
    <n v="0"/>
    <n v="-29.912080892907397"/>
  </r>
  <r>
    <x v="4"/>
    <d v="2021-06-03T00:00:00"/>
    <d v="2021-06-24T00:00:00"/>
    <x v="4"/>
    <n v="9"/>
    <n v="28"/>
    <n v="1177.4939874727397"/>
    <n v="1176.0435370430484"/>
    <n v="32929.219037205359"/>
    <n v="32969.831649236716"/>
    <n v="-40.612612031356548"/>
    <n v="-1.2643012187159932"/>
    <n v="-41.876913250072541"/>
    <n v="0"/>
    <n v="0"/>
    <n v="0"/>
    <n v="-41.876913250072541"/>
  </r>
  <r>
    <x v="5"/>
    <d v="2021-07-06T00:00:00"/>
    <d v="2021-07-24T00:00:00"/>
    <x v="4"/>
    <n v="9"/>
    <n v="45"/>
    <n v="1177.4939874727397"/>
    <n v="1176.0435370430484"/>
    <n v="52921.95916693718"/>
    <n v="52987.229436273286"/>
    <n v="-65.270269336106139"/>
    <n v="-2.0319126729364174"/>
    <n v="-67.302182009042554"/>
    <n v="0"/>
    <n v="0"/>
    <n v="0"/>
    <n v="-67.302182009042554"/>
  </r>
  <r>
    <x v="6"/>
    <d v="2021-08-04T00:00:00"/>
    <d v="2021-08-24T00:00:00"/>
    <x v="4"/>
    <n v="9"/>
    <n v="53"/>
    <n v="1177.4939874727397"/>
    <n v="1176.0435370430484"/>
    <n v="62330.30746328157"/>
    <n v="62407.181336055204"/>
    <n v="-76.873872773634503"/>
    <n v="-2.3931415925695587"/>
    <n v="-79.267014366204066"/>
    <n v="0"/>
    <n v="0"/>
    <n v="0"/>
    <n v="-79.267014366204066"/>
  </r>
  <r>
    <x v="7"/>
    <d v="2021-09-03T00:00:00"/>
    <d v="2021-09-24T00:00:00"/>
    <x v="4"/>
    <n v="9"/>
    <n v="50"/>
    <n v="1177.4939874727397"/>
    <n v="1176.0435370430484"/>
    <n v="58802.176852152421"/>
    <n v="58874.699373636984"/>
    <n v="-72.522521484563185"/>
    <n v="-2.257680747707131"/>
    <n v="-74.780202232270312"/>
    <n v="0"/>
    <n v="0"/>
    <n v="0"/>
    <n v="-74.780202232270312"/>
  </r>
  <r>
    <x v="8"/>
    <d v="2021-10-05T00:00:00"/>
    <d v="2021-10-25T00:00:00"/>
    <x v="4"/>
    <n v="9"/>
    <n v="49"/>
    <n v="1177.4939874727397"/>
    <n v="1176.0435370430484"/>
    <n v="57626.133315109371"/>
    <n v="57697.205386164249"/>
    <n v="-71.072071054877597"/>
    <n v="-2.2125271327529883"/>
    <n v="-73.284598187630579"/>
    <n v="0"/>
    <n v="0"/>
    <n v="0"/>
    <n v="-73.284598187630579"/>
  </r>
  <r>
    <x v="9"/>
    <d v="2021-11-03T00:00:00"/>
    <d v="2021-11-24T00:00:00"/>
    <x v="4"/>
    <n v="9"/>
    <n v="38"/>
    <n v="1177.4939874727397"/>
    <n v="1176.0435370430484"/>
    <n v="44689.65440763584"/>
    <n v="44744.771523964111"/>
    <n v="-55.11711632827064"/>
    <n v="-1.7158373682574193"/>
    <n v="-56.832953696528058"/>
    <n v="0"/>
    <n v="0"/>
    <n v="0"/>
    <n v="-56.832953696528058"/>
  </r>
  <r>
    <x v="10"/>
    <d v="2021-12-03T00:00:00"/>
    <d v="2021-12-27T00:00:00"/>
    <x v="4"/>
    <n v="9"/>
    <n v="32"/>
    <n v="1177.4939874727397"/>
    <n v="1176.0435370430484"/>
    <n v="37633.39318537755"/>
    <n v="37679.807599127671"/>
    <n v="-46.41441375012073"/>
    <n v="-1.4449156785325634"/>
    <n v="-47.859329428653297"/>
    <n v="0"/>
    <n v="0"/>
    <n v="0"/>
    <n v="-47.859329428653297"/>
  </r>
  <r>
    <x v="11"/>
    <d v="2022-01-05T00:00:00"/>
    <d v="2022-01-24T00:00:00"/>
    <x v="4"/>
    <n v="9"/>
    <n v="31"/>
    <n v="1177.4939874727397"/>
    <n v="1176.0435370430484"/>
    <n v="36457.349648334501"/>
    <n v="36502.313611654929"/>
    <n v="-44.963963320427865"/>
    <n v="-1.3997620635784209"/>
    <n v="-46.363725384006287"/>
    <n v="0"/>
    <n v="0"/>
    <n v="0"/>
    <n v="-46.363725384006287"/>
  </r>
  <r>
    <x v="0"/>
    <d v="2021-02-03T00:00:00"/>
    <d v="2021-02-24T00:00:00"/>
    <x v="5"/>
    <n v="9"/>
    <n v="43"/>
    <n v="1177.4939874727397"/>
    <n v="1176.0435370430484"/>
    <n v="50569.872092851081"/>
    <n v="50632.241461327809"/>
    <n v="-62.369368476727686"/>
    <n v="-1.9416054430281322"/>
    <n v="-64.310973919755824"/>
    <n v="0"/>
    <n v="0"/>
    <n v="0"/>
    <n v="-64.310973919755824"/>
  </r>
  <r>
    <x v="1"/>
    <d v="2021-03-03T00:00:00"/>
    <d v="2021-03-24T00:00:00"/>
    <x v="5"/>
    <n v="9"/>
    <n v="48"/>
    <n v="1177.4939874727397"/>
    <n v="1176.0435370430484"/>
    <n v="56450.089778066322"/>
    <n v="56519.711398691506"/>
    <n v="-69.621620625184732"/>
    <n v="-2.1673735177988456"/>
    <n v="-71.788994142983583"/>
    <n v="0"/>
    <n v="0"/>
    <n v="0"/>
    <n v="-71.788994142983583"/>
  </r>
  <r>
    <x v="2"/>
    <d v="2021-04-05T00:00:00"/>
    <d v="2021-04-26T00:00:00"/>
    <x v="5"/>
    <n v="9"/>
    <n v="35"/>
    <n v="1177.4939874727397"/>
    <n v="1176.0435370430484"/>
    <n v="41161.523796506699"/>
    <n v="41212.289561545891"/>
    <n v="-50.765765039192047"/>
    <n v="-1.5803765233949916"/>
    <n v="-52.346141562587036"/>
    <n v="0"/>
    <n v="0"/>
    <n v="0"/>
    <n v="-52.346141562587036"/>
  </r>
  <r>
    <x v="3"/>
    <d v="2021-05-05T00:00:00"/>
    <d v="2021-05-24T00:00:00"/>
    <x v="5"/>
    <n v="9"/>
    <n v="29"/>
    <n v="1177.4939874727397"/>
    <n v="1176.0435370430484"/>
    <n v="34105.262574248402"/>
    <n v="34147.325636709451"/>
    <n v="-42.063062461049412"/>
    <n v="-1.3094548336701357"/>
    <n v="-43.37251729471955"/>
    <n v="0"/>
    <n v="0"/>
    <n v="0"/>
    <n v="-43.37251729471955"/>
  </r>
  <r>
    <x v="4"/>
    <d v="2021-06-03T00:00:00"/>
    <d v="2021-06-24T00:00:00"/>
    <x v="5"/>
    <n v="9"/>
    <n v="34"/>
    <n v="1177.4939874727397"/>
    <n v="1176.0435370430484"/>
    <n v="39985.480259463649"/>
    <n v="40034.795574073149"/>
    <n v="-49.315314609499183"/>
    <n v="-1.5352229084408489"/>
    <n v="-50.850537517940033"/>
    <n v="0"/>
    <n v="0"/>
    <n v="0"/>
    <n v="-50.850537517940033"/>
  </r>
  <r>
    <x v="5"/>
    <d v="2021-07-06T00:00:00"/>
    <d v="2021-07-24T00:00:00"/>
    <x v="5"/>
    <n v="9"/>
    <n v="45"/>
    <n v="1177.4939874727397"/>
    <n v="1176.0435370430484"/>
    <n v="52921.95916693718"/>
    <n v="52987.229436273286"/>
    <n v="-65.270269336106139"/>
    <n v="-2.0319126729364174"/>
    <n v="-67.302182009042554"/>
    <n v="0"/>
    <n v="0"/>
    <n v="0"/>
    <n v="-67.302182009042554"/>
  </r>
  <r>
    <x v="6"/>
    <d v="2021-08-04T00:00:00"/>
    <d v="2021-08-24T00:00:00"/>
    <x v="5"/>
    <n v="9"/>
    <n v="48"/>
    <n v="1177.4939874727397"/>
    <n v="1176.0435370430484"/>
    <n v="56450.089778066322"/>
    <n v="56519.711398691506"/>
    <n v="-69.621620625184732"/>
    <n v="-2.1673735177988456"/>
    <n v="-71.788994142983583"/>
    <n v="0"/>
    <n v="0"/>
    <n v="0"/>
    <n v="-71.788994142983583"/>
  </r>
  <r>
    <x v="7"/>
    <d v="2021-09-03T00:00:00"/>
    <d v="2021-09-24T00:00:00"/>
    <x v="5"/>
    <n v="9"/>
    <n v="46"/>
    <n v="1177.4939874727397"/>
    <n v="1176.0435370430484"/>
    <n v="54098.00270398023"/>
    <n v="54164.723423746029"/>
    <n v="-66.720719765799004"/>
    <n v="-2.0770662878905601"/>
    <n v="-68.797786053689563"/>
    <n v="0"/>
    <n v="0"/>
    <n v="0"/>
    <n v="-68.797786053689563"/>
  </r>
  <r>
    <x v="8"/>
    <d v="2021-10-05T00:00:00"/>
    <d v="2021-10-25T00:00:00"/>
    <x v="5"/>
    <n v="9"/>
    <n v="46"/>
    <n v="1177.4939874727397"/>
    <n v="1176.0435370430484"/>
    <n v="54098.00270398023"/>
    <n v="54164.723423746029"/>
    <n v="-66.720719765799004"/>
    <n v="-2.0770662878905601"/>
    <n v="-68.797786053689563"/>
    <n v="0"/>
    <n v="0"/>
    <n v="0"/>
    <n v="-68.797786053689563"/>
  </r>
  <r>
    <x v="9"/>
    <d v="2021-11-03T00:00:00"/>
    <d v="2021-11-24T00:00:00"/>
    <x v="5"/>
    <n v="9"/>
    <n v="41"/>
    <n v="1177.4939874727397"/>
    <n v="1176.0435370430484"/>
    <n v="48217.785018764989"/>
    <n v="48277.253486382331"/>
    <n v="-59.468467617341958"/>
    <n v="-1.851298213119847"/>
    <n v="-61.319765830461805"/>
    <n v="0"/>
    <n v="0"/>
    <n v="0"/>
    <n v="-61.319765830461805"/>
  </r>
  <r>
    <x v="10"/>
    <d v="2021-12-03T00:00:00"/>
    <d v="2021-12-27T00:00:00"/>
    <x v="5"/>
    <n v="9"/>
    <n v="40"/>
    <n v="1177.4939874727397"/>
    <n v="1176.0435370430484"/>
    <n v="47041.74148172194"/>
    <n v="47099.759498909589"/>
    <n v="-58.018017187649093"/>
    <n v="-1.8061445981657045"/>
    <n v="-59.824161785814795"/>
    <n v="0"/>
    <n v="0"/>
    <n v="0"/>
    <n v="-59.824161785814795"/>
  </r>
  <r>
    <x v="11"/>
    <d v="2022-01-05T00:00:00"/>
    <d v="2022-01-24T00:00:00"/>
    <x v="5"/>
    <n v="9"/>
    <n v="39"/>
    <n v="1177.4939874727397"/>
    <n v="1176.0435370430484"/>
    <n v="45865.69794467889"/>
    <n v="45922.265511436846"/>
    <n v="-56.567566757956229"/>
    <n v="-1.7609909832115618"/>
    <n v="-58.328557741167792"/>
    <n v="0"/>
    <n v="0"/>
    <n v="0"/>
    <n v="-58.328557741167792"/>
  </r>
  <r>
    <x v="0"/>
    <d v="2021-02-03T00:00:00"/>
    <d v="2021-02-24T00:00:00"/>
    <x v="6"/>
    <n v="9"/>
    <n v="76"/>
    <n v="1177.4939874727397"/>
    <n v="1176.0435370430484"/>
    <n v="89379.308815271681"/>
    <n v="89489.543047928222"/>
    <n v="-110.23423265654128"/>
    <n v="-3.4316747365148386"/>
    <n v="-113.66590739305612"/>
    <n v="0"/>
    <n v="0"/>
    <n v="0"/>
    <n v="-113.66590739305612"/>
  </r>
  <r>
    <x v="1"/>
    <d v="2021-03-03T00:00:00"/>
    <d v="2021-03-24T00:00:00"/>
    <x v="6"/>
    <n v="9"/>
    <n v="99"/>
    <n v="1177.4939874727397"/>
    <n v="1176.0435370430484"/>
    <n v="116428.31016726179"/>
    <n v="116571.90475980123"/>
    <n v="-143.59459253943351"/>
    <n v="-4.4702078804601193"/>
    <n v="-148.06480041989363"/>
    <n v="0"/>
    <n v="0"/>
    <n v="0"/>
    <n v="-148.06480041989363"/>
  </r>
  <r>
    <x v="2"/>
    <d v="2021-04-05T00:00:00"/>
    <d v="2021-04-26T00:00:00"/>
    <x v="6"/>
    <n v="9"/>
    <n v="66"/>
    <n v="1177.4939874727397"/>
    <n v="1176.0435370430484"/>
    <n v="77618.8734448412"/>
    <n v="77714.603173200827"/>
    <n v="-95.729728359627188"/>
    <n v="-2.9801385869734123"/>
    <n v="-98.709866946600599"/>
    <n v="0"/>
    <n v="0"/>
    <n v="0"/>
    <n v="-98.709866946600599"/>
  </r>
  <r>
    <x v="3"/>
    <d v="2021-05-05T00:00:00"/>
    <d v="2021-05-24T00:00:00"/>
    <x v="6"/>
    <n v="9"/>
    <n v="67"/>
    <n v="1177.4939874727397"/>
    <n v="1176.0435370430484"/>
    <n v="78794.916981884249"/>
    <n v="78892.097160673555"/>
    <n v="-97.180178789305501"/>
    <n v="-3.025292201927555"/>
    <n v="-100.20547099123306"/>
    <n v="0"/>
    <n v="0"/>
    <n v="0"/>
    <n v="-100.20547099123306"/>
  </r>
  <r>
    <x v="4"/>
    <d v="2021-06-03T00:00:00"/>
    <d v="2021-06-24T00:00:00"/>
    <x v="6"/>
    <n v="9"/>
    <n v="101"/>
    <n v="1177.4939874727397"/>
    <n v="1176.0435370430484"/>
    <n v="118780.39724134789"/>
    <n v="118926.89273474671"/>
    <n v="-146.49549339881924"/>
    <n v="-4.5605151103684038"/>
    <n v="-151.05600850918765"/>
    <n v="0"/>
    <n v="0"/>
    <n v="0"/>
    <n v="-151.05600850918765"/>
  </r>
  <r>
    <x v="5"/>
    <d v="2021-07-06T00:00:00"/>
    <d v="2021-07-24T00:00:00"/>
    <x v="6"/>
    <n v="9"/>
    <n v="141"/>
    <n v="1177.4939874727397"/>
    <n v="1176.0435370430484"/>
    <n v="165822.13872306983"/>
    <n v="166026.65223365629"/>
    <n v="-204.51351058646105"/>
    <n v="-6.366659708534109"/>
    <n v="-210.88017029499517"/>
    <n v="0"/>
    <n v="0"/>
    <n v="0"/>
    <n v="-210.88017029499517"/>
  </r>
  <r>
    <x v="6"/>
    <d v="2021-08-04T00:00:00"/>
    <d v="2021-08-24T00:00:00"/>
    <x v="6"/>
    <n v="9"/>
    <n v="145"/>
    <n v="1177.4939874727397"/>
    <n v="1176.0435370430484"/>
    <n v="170526.31287124203"/>
    <n v="170736.62818354726"/>
    <n v="-210.31531230523251"/>
    <n v="-6.547274168350679"/>
    <n v="-216.86258647358318"/>
    <n v="0"/>
    <n v="0"/>
    <n v="0"/>
    <n v="-216.86258647358318"/>
  </r>
  <r>
    <x v="7"/>
    <d v="2021-09-03T00:00:00"/>
    <d v="2021-09-24T00:00:00"/>
    <x v="6"/>
    <n v="9"/>
    <n v="149"/>
    <n v="1177.4939874727397"/>
    <n v="1176.0435370430484"/>
    <n v="175230.48701941423"/>
    <n v="175446.60413343823"/>
    <n v="-216.11711402400397"/>
    <n v="-6.727888628167249"/>
    <n v="-222.84500265217122"/>
    <n v="0"/>
    <n v="0"/>
    <n v="0"/>
    <n v="-222.84500265217122"/>
  </r>
  <r>
    <x v="8"/>
    <d v="2021-10-05T00:00:00"/>
    <d v="2021-10-25T00:00:00"/>
    <x v="6"/>
    <n v="9"/>
    <n v="150"/>
    <n v="1177.4939874727397"/>
    <n v="1176.0435370430484"/>
    <n v="176406.53055645726"/>
    <n v="176624.09812091096"/>
    <n v="-217.56756445369683"/>
    <n v="-6.7730422431213917"/>
    <n v="-224.34060669681821"/>
    <n v="0"/>
    <n v="0"/>
    <n v="0"/>
    <n v="-224.34060669681821"/>
  </r>
  <r>
    <x v="9"/>
    <d v="2021-11-03T00:00:00"/>
    <d v="2021-11-24T00:00:00"/>
    <x v="6"/>
    <n v="9"/>
    <n v="114"/>
    <n v="1177.4939874727397"/>
    <n v="1176.0435370430484"/>
    <n v="134068.96322290754"/>
    <n v="134234.31457189232"/>
    <n v="-165.35134898478282"/>
    <n v="-5.1475121047722583"/>
    <n v="-170.49886108955508"/>
    <n v="0"/>
    <n v="0"/>
    <n v="0"/>
    <n v="-170.49886108955508"/>
  </r>
  <r>
    <x v="10"/>
    <d v="2021-12-03T00:00:00"/>
    <d v="2021-12-27T00:00:00"/>
    <x v="6"/>
    <n v="9"/>
    <n v="66"/>
    <n v="1177.4939874727397"/>
    <n v="1176.0435370430484"/>
    <n v="77618.8734448412"/>
    <n v="77714.603173200827"/>
    <n v="-95.729728359627188"/>
    <n v="-2.9801385869734123"/>
    <n v="-98.709866946600599"/>
    <n v="0"/>
    <n v="0"/>
    <n v="0"/>
    <n v="-98.709866946600599"/>
  </r>
  <r>
    <x v="11"/>
    <d v="2022-01-05T00:00:00"/>
    <d v="2022-01-24T00:00:00"/>
    <x v="6"/>
    <n v="9"/>
    <n v="72"/>
    <n v="1177.4939874727397"/>
    <n v="1176.0435370430484"/>
    <n v="84675.134667099483"/>
    <n v="84779.567098037252"/>
    <n v="-104.43243093776982"/>
    <n v="-3.2510602766982681"/>
    <n v="-107.68349121446809"/>
    <n v="0"/>
    <n v="0"/>
    <n v="0"/>
    <n v="-107.68349121446809"/>
  </r>
  <r>
    <x v="0"/>
    <d v="2021-02-03T00:00:00"/>
    <d v="2021-02-24T00:00:00"/>
    <x v="7"/>
    <n v="9"/>
    <n v="37"/>
    <n v="1177.4939874727397"/>
    <n v="1176.0435370430484"/>
    <n v="43513.610870592791"/>
    <n v="43567.277536491369"/>
    <n v="-53.666665898577776"/>
    <n v="-1.6706837533032768"/>
    <n v="-55.337349651881055"/>
    <n v="0"/>
    <n v="0"/>
    <n v="0"/>
    <n v="-55.337349651881055"/>
  </r>
  <r>
    <x v="1"/>
    <d v="2021-03-03T00:00:00"/>
    <d v="2021-03-24T00:00:00"/>
    <x v="7"/>
    <n v="9"/>
    <n v="33"/>
    <n v="1177.4939874727397"/>
    <n v="1176.0435370430484"/>
    <n v="38809.4367224206"/>
    <n v="38857.301586600413"/>
    <n v="-47.864864179813594"/>
    <n v="-1.4900692934867061"/>
    <n v="-49.354933473300299"/>
    <n v="0"/>
    <n v="0"/>
    <n v="0"/>
    <n v="-49.354933473300299"/>
  </r>
  <r>
    <x v="2"/>
    <d v="2021-04-05T00:00:00"/>
    <d v="2021-04-26T00:00:00"/>
    <x v="7"/>
    <n v="9"/>
    <n v="47"/>
    <n v="1177.4939874727397"/>
    <n v="1176.0435370430484"/>
    <n v="55274.046241023279"/>
    <n v="55342.217411218764"/>
    <n v="-68.171170195484592"/>
    <n v="-2.1222199028447029"/>
    <n v="-70.293390098329297"/>
    <n v="0"/>
    <n v="0"/>
    <n v="0"/>
    <n v="-70.293390098329297"/>
  </r>
  <r>
    <x v="3"/>
    <d v="2021-05-05T00:00:00"/>
    <d v="2021-05-24T00:00:00"/>
    <x v="7"/>
    <n v="9"/>
    <n v="39"/>
    <n v="1177.4939874727397"/>
    <n v="1176.0435370430484"/>
    <n v="45865.69794467889"/>
    <n v="45922.265511436846"/>
    <n v="-56.567566757956229"/>
    <n v="-1.7609909832115618"/>
    <n v="-58.328557741167792"/>
    <n v="0"/>
    <n v="0"/>
    <n v="0"/>
    <n v="-58.328557741167792"/>
  </r>
  <r>
    <x v="4"/>
    <d v="2021-06-03T00:00:00"/>
    <d v="2021-06-24T00:00:00"/>
    <x v="7"/>
    <n v="9"/>
    <n v="46"/>
    <n v="1177.4939874727397"/>
    <n v="1176.0435370430484"/>
    <n v="54098.00270398023"/>
    <n v="54164.723423746029"/>
    <n v="-66.720719765799004"/>
    <n v="-2.0770662878905601"/>
    <n v="-68.797786053689563"/>
    <n v="0"/>
    <n v="0"/>
    <n v="0"/>
    <n v="-68.797786053689563"/>
  </r>
  <r>
    <x v="5"/>
    <d v="2021-07-06T00:00:00"/>
    <d v="2021-07-24T00:00:00"/>
    <x v="7"/>
    <n v="9"/>
    <n v="51"/>
    <n v="1177.4939874727397"/>
    <n v="1176.0435370430484"/>
    <n v="59978.22038919547"/>
    <n v="60052.193361109727"/>
    <n v="-73.97297191425605"/>
    <n v="-2.3028343626612733"/>
    <n v="-76.275806276917322"/>
    <n v="0"/>
    <n v="0"/>
    <n v="0"/>
    <n v="-76.275806276917322"/>
  </r>
  <r>
    <x v="6"/>
    <d v="2021-08-04T00:00:00"/>
    <d v="2021-08-24T00:00:00"/>
    <x v="7"/>
    <n v="9"/>
    <n v="46"/>
    <n v="1177.4939874727397"/>
    <n v="1176.0435370430484"/>
    <n v="54098.00270398023"/>
    <n v="54164.723423746029"/>
    <n v="-66.720719765799004"/>
    <n v="-2.0770662878905601"/>
    <n v="-68.797786053689563"/>
    <n v="0"/>
    <n v="0"/>
    <n v="0"/>
    <n v="-68.797786053689563"/>
  </r>
  <r>
    <x v="7"/>
    <d v="2021-09-03T00:00:00"/>
    <d v="2021-09-24T00:00:00"/>
    <x v="7"/>
    <n v="9"/>
    <n v="50"/>
    <n v="1177.4939874727397"/>
    <n v="1176.0435370430484"/>
    <n v="58802.176852152421"/>
    <n v="58874.699373636984"/>
    <n v="-72.522521484563185"/>
    <n v="-2.257680747707131"/>
    <n v="-74.780202232270312"/>
    <n v="0"/>
    <n v="0"/>
    <n v="0"/>
    <n v="-74.780202232270312"/>
  </r>
  <r>
    <x v="8"/>
    <d v="2021-10-05T00:00:00"/>
    <d v="2021-10-25T00:00:00"/>
    <x v="7"/>
    <n v="9"/>
    <n v="45"/>
    <n v="1177.4939874727397"/>
    <n v="1176.0435370430484"/>
    <n v="52921.95916693718"/>
    <n v="52987.229436273286"/>
    <n v="-65.270269336106139"/>
    <n v="-2.0319126729364174"/>
    <n v="-67.302182009042554"/>
    <n v="0"/>
    <n v="0"/>
    <n v="0"/>
    <n v="-67.302182009042554"/>
  </r>
  <r>
    <x v="9"/>
    <d v="2021-11-03T00:00:00"/>
    <d v="2021-11-24T00:00:00"/>
    <x v="7"/>
    <n v="9"/>
    <n v="46"/>
    <n v="1177.4939874727397"/>
    <n v="1176.0435370430484"/>
    <n v="54098.00270398023"/>
    <n v="54164.723423746029"/>
    <n v="-66.720719765799004"/>
    <n v="-2.0770662878905601"/>
    <n v="-68.797786053689563"/>
    <n v="0"/>
    <n v="0"/>
    <n v="0"/>
    <n v="-68.797786053689563"/>
  </r>
  <r>
    <x v="10"/>
    <d v="2021-12-03T00:00:00"/>
    <d v="2021-12-27T00:00:00"/>
    <x v="7"/>
    <n v="9"/>
    <n v="48"/>
    <n v="1177.4939874727397"/>
    <n v="1176.0435370430484"/>
    <n v="56450.089778066322"/>
    <n v="56519.711398691506"/>
    <n v="-69.621620625184732"/>
    <n v="-2.1673735177988456"/>
    <n v="-71.788994142983583"/>
    <n v="0"/>
    <n v="0"/>
    <n v="0"/>
    <n v="-71.788994142983583"/>
  </r>
  <r>
    <x v="11"/>
    <d v="2022-01-05T00:00:00"/>
    <d v="2022-01-24T00:00:00"/>
    <x v="7"/>
    <n v="9"/>
    <n v="42"/>
    <n v="1177.4939874727397"/>
    <n v="1176.0435370430484"/>
    <n v="49393.828555808032"/>
    <n v="49454.747473855066"/>
    <n v="-60.918918047034822"/>
    <n v="-1.8964518280739897"/>
    <n v="-62.815369875108814"/>
    <n v="0"/>
    <n v="0"/>
    <n v="0"/>
    <n v="-62.815369875108814"/>
  </r>
  <r>
    <x v="0"/>
    <d v="2021-02-03T00:00:00"/>
    <d v="2021-02-24T00:00:00"/>
    <x v="8"/>
    <n v="9"/>
    <n v="973"/>
    <n v="1177.4939874727397"/>
    <n v="1176.0435370430484"/>
    <n v="1144290.3615428861"/>
    <n v="1145701.6498109757"/>
    <n v="-1411.2882680895273"/>
    <n v="-43.934467350380757"/>
    <n v="-1455.2227354399081"/>
    <n v="0"/>
    <n v="0"/>
    <n v="0"/>
    <n v="-1455.2227354399081"/>
  </r>
  <r>
    <x v="1"/>
    <d v="2021-03-03T00:00:00"/>
    <d v="2021-03-24T00:00:00"/>
    <x v="8"/>
    <n v="9"/>
    <n v="1338"/>
    <n v="1177.4939874727397"/>
    <n v="1176.0435370430484"/>
    <n v="1573546.2525635988"/>
    <n v="1575486.9552385258"/>
    <n v="-1940.7026749269571"/>
    <n v="-60.41553680864282"/>
    <n v="-2001.1182117356"/>
    <n v="0"/>
    <n v="0"/>
    <n v="0"/>
    <n v="-2001.1182117356"/>
  </r>
  <r>
    <x v="2"/>
    <d v="2021-04-05T00:00:00"/>
    <d v="2021-04-26T00:00:00"/>
    <x v="8"/>
    <n v="9"/>
    <n v="790"/>
    <n v="1177.4939874727397"/>
    <n v="1176.0435370430484"/>
    <n v="929074.39426400827"/>
    <n v="930220.25010346435"/>
    <n v="-1145.8558394560823"/>
    <n v="-35.671355813772664"/>
    <n v="-1181.5271952698549"/>
    <n v="0"/>
    <n v="0"/>
    <n v="0"/>
    <n v="-1181.5271952698549"/>
  </r>
  <r>
    <x v="3"/>
    <d v="2021-05-05T00:00:00"/>
    <d v="2021-05-24T00:00:00"/>
    <x v="8"/>
    <n v="9"/>
    <n v="565"/>
    <n v="1177.4939874727397"/>
    <n v="1176.0435370430484"/>
    <n v="664464.59842932236"/>
    <n v="665284.1029220979"/>
    <n v="-819.50449277553707"/>
    <n v="-25.511792449090574"/>
    <n v="-845.01628522462761"/>
    <n v="0"/>
    <n v="0"/>
    <n v="0"/>
    <n v="-845.01628522462761"/>
  </r>
  <r>
    <x v="4"/>
    <d v="2021-06-03T00:00:00"/>
    <d v="2021-06-24T00:00:00"/>
    <x v="8"/>
    <n v="9"/>
    <n v="636"/>
    <n v="1177.4939874727397"/>
    <n v="1176.0435370430484"/>
    <n v="747963.68955937878"/>
    <n v="748886.17603266251"/>
    <n v="-922.48647328373045"/>
    <n v="-28.717699110834701"/>
    <n v="-951.20417239456515"/>
    <n v="0"/>
    <n v="0"/>
    <n v="0"/>
    <n v="-951.20417239456515"/>
  </r>
  <r>
    <x v="5"/>
    <d v="2021-07-06T00:00:00"/>
    <d v="2021-07-24T00:00:00"/>
    <x v="8"/>
    <n v="9"/>
    <n v="845"/>
    <n v="1177.4939874727397"/>
    <n v="1176.0435370430484"/>
    <n v="993756.78880137589"/>
    <n v="994982.41941446508"/>
    <n v="-1225.6306130891899"/>
    <n v="-38.15480463625051"/>
    <n v="-1263.7854177254403"/>
    <n v="0"/>
    <n v="0"/>
    <n v="0"/>
    <n v="-1263.7854177254403"/>
  </r>
  <r>
    <x v="6"/>
    <d v="2021-08-04T00:00:00"/>
    <d v="2021-08-24T00:00:00"/>
    <x v="8"/>
    <n v="9"/>
    <n v="897"/>
    <n v="1177.4939874727397"/>
    <n v="1176.0435370430484"/>
    <n v="1054911.0527276145"/>
    <n v="1056212.1067630476"/>
    <n v="-1301.0540354331024"/>
    <n v="-40.502792613865921"/>
    <n v="-1341.5568280469683"/>
    <n v="0"/>
    <n v="0"/>
    <n v="0"/>
    <n v="-1341.5568280469683"/>
  </r>
  <r>
    <x v="7"/>
    <d v="2021-09-03T00:00:00"/>
    <d v="2021-09-24T00:00:00"/>
    <x v="8"/>
    <n v="9"/>
    <n v="899"/>
    <n v="1177.4939874727397"/>
    <n v="1176.0435370430484"/>
    <n v="1057263.1398017006"/>
    <n v="1058567.0947379931"/>
    <n v="-1303.9549362924881"/>
    <n v="-40.593099843774212"/>
    <n v="-1344.5480361362625"/>
    <n v="0"/>
    <n v="0"/>
    <n v="0"/>
    <n v="-1344.5480361362625"/>
  </r>
  <r>
    <x v="8"/>
    <d v="2021-10-05T00:00:00"/>
    <d v="2021-10-25T00:00:00"/>
    <x v="8"/>
    <n v="9"/>
    <n v="904"/>
    <n v="1177.4939874727397"/>
    <n v="1176.0435370430484"/>
    <n v="1063143.3574869158"/>
    <n v="1064454.5646753567"/>
    <n v="-1311.2071884409525"/>
    <n v="-40.818867918544925"/>
    <n v="-1352.0260563594975"/>
    <n v="0"/>
    <n v="0"/>
    <n v="0"/>
    <n v="-1352.0260563594975"/>
  </r>
  <r>
    <x v="9"/>
    <d v="2021-11-03T00:00:00"/>
    <d v="2021-11-24T00:00:00"/>
    <x v="8"/>
    <n v="9"/>
    <n v="685"/>
    <n v="1177.4939874727397"/>
    <n v="1176.0435370430484"/>
    <n v="805589.82287448819"/>
    <n v="806583.38141882676"/>
    <n v="-993.55854433856439"/>
    <n v="-30.93022624358769"/>
    <n v="-1024.488770582152"/>
    <n v="0"/>
    <n v="0"/>
    <n v="0"/>
    <n v="-1024.488770582152"/>
  </r>
  <r>
    <x v="10"/>
    <d v="2021-12-03T00:00:00"/>
    <d v="2021-12-27T00:00:00"/>
    <x v="8"/>
    <n v="9"/>
    <n v="718"/>
    <n v="1177.4939874727397"/>
    <n v="1176.0435370430484"/>
    <n v="844399.25959690881"/>
    <n v="845440.68300542713"/>
    <n v="-1041.4234085183125"/>
    <n v="-32.420295537074395"/>
    <n v="-1073.843704055387"/>
    <n v="0"/>
    <n v="0"/>
    <n v="0"/>
    <n v="-1073.843704055387"/>
  </r>
  <r>
    <x v="11"/>
    <d v="2022-01-05T00:00:00"/>
    <d v="2022-01-24T00:00:00"/>
    <x v="8"/>
    <n v="9"/>
    <n v="770"/>
    <n v="1177.4939874727397"/>
    <n v="1176.0435370430484"/>
    <n v="905553.52352314733"/>
    <n v="906670.37035400956"/>
    <n v="-1116.846830862225"/>
    <n v="-34.768283514689813"/>
    <n v="-1151.6151143769148"/>
    <n v="0"/>
    <n v="0"/>
    <n v="0"/>
    <n v="-1151.6151143769148"/>
  </r>
  <r>
    <x v="0"/>
    <d v="2021-02-03T00:00:00"/>
    <d v="2021-02-24T00:00:00"/>
    <x v="9"/>
    <n v="9"/>
    <n v="7"/>
    <n v="1177.4939874727397"/>
    <n v="1176.0435370430484"/>
    <n v="8232.3047593013398"/>
    <n v="8242.4579123091789"/>
    <n v="-10.153153007839137"/>
    <n v="-0.3160753046789983"/>
    <n v="-10.469228312518135"/>
    <n v="0"/>
    <n v="0"/>
    <n v="0"/>
    <n v="-10.469228312518135"/>
  </r>
  <r>
    <x v="1"/>
    <d v="2021-03-03T00:00:00"/>
    <d v="2021-03-24T00:00:00"/>
    <x v="9"/>
    <n v="9"/>
    <n v="8"/>
    <n v="1177.4939874727397"/>
    <n v="1176.0435370430484"/>
    <n v="9408.3482963443876"/>
    <n v="9419.9518997819177"/>
    <n v="-11.603603437530182"/>
    <n v="-0.36122891963314085"/>
    <n v="-11.964832357163324"/>
    <n v="0"/>
    <n v="0"/>
    <n v="0"/>
    <n v="-11.964832357163324"/>
  </r>
  <r>
    <x v="2"/>
    <d v="2021-04-05T00:00:00"/>
    <d v="2021-04-26T00:00:00"/>
    <x v="9"/>
    <n v="9"/>
    <n v="5"/>
    <n v="1177.4939874727397"/>
    <n v="1176.0435370430484"/>
    <n v="5880.2176852152425"/>
    <n v="5887.4699373636986"/>
    <n v="-7.2522521484561366"/>
    <n v="-0.22576807477071306"/>
    <n v="-7.4780202232268493"/>
    <n v="0"/>
    <n v="0"/>
    <n v="0"/>
    <n v="-7.4780202232268493"/>
  </r>
  <r>
    <x v="3"/>
    <d v="2021-05-05T00:00:00"/>
    <d v="2021-05-24T00:00:00"/>
    <x v="9"/>
    <n v="9"/>
    <n v="6"/>
    <n v="1177.4939874727397"/>
    <n v="1176.0435370430484"/>
    <n v="7056.2612222582902"/>
    <n v="7064.9639248364383"/>
    <n v="-8.7027025781480916"/>
    <n v="-0.2709216897248557"/>
    <n v="-8.9736242678729479"/>
    <n v="0"/>
    <n v="0"/>
    <n v="0"/>
    <n v="-8.9736242678729479"/>
  </r>
  <r>
    <x v="4"/>
    <d v="2021-06-03T00:00:00"/>
    <d v="2021-06-24T00:00:00"/>
    <x v="9"/>
    <n v="9"/>
    <n v="4"/>
    <n v="1177.4939874727397"/>
    <n v="1176.0435370430484"/>
    <n v="4704.1741481721938"/>
    <n v="4709.9759498909589"/>
    <n v="-5.8018017187650912"/>
    <n v="-0.18061445981657043"/>
    <n v="-5.9824161785816621"/>
    <n v="0"/>
    <n v="0"/>
    <n v="0"/>
    <n v="-5.9824161785816621"/>
  </r>
  <r>
    <x v="5"/>
    <d v="2021-07-06T00:00:00"/>
    <d v="2021-07-24T00:00:00"/>
    <x v="9"/>
    <n v="9"/>
    <n v="13"/>
    <n v="1177.4939874727397"/>
    <n v="1176.0435370430484"/>
    <n v="15288.56598155963"/>
    <n v="15307.421837145615"/>
    <n v="-18.85585558598541"/>
    <n v="-0.586996994403854"/>
    <n v="-19.442852580389264"/>
    <n v="0"/>
    <n v="0"/>
    <n v="0"/>
    <n v="-19.442852580389264"/>
  </r>
  <r>
    <x v="6"/>
    <d v="2021-08-04T00:00:00"/>
    <d v="2021-08-24T00:00:00"/>
    <x v="9"/>
    <n v="9"/>
    <n v="17"/>
    <n v="1177.4939874727397"/>
    <n v="1176.0435370430484"/>
    <n v="19992.740129731825"/>
    <n v="20017.397787036574"/>
    <n v="-24.657657304749591"/>
    <n v="-0.76761145422042443"/>
    <n v="-25.425268758970017"/>
    <n v="0"/>
    <n v="0"/>
    <n v="0"/>
    <n v="-25.425268758970017"/>
  </r>
  <r>
    <x v="7"/>
    <d v="2021-09-03T00:00:00"/>
    <d v="2021-09-24T00:00:00"/>
    <x v="9"/>
    <n v="9"/>
    <n v="17"/>
    <n v="1177.4939874727397"/>
    <n v="1176.0435370430484"/>
    <n v="19992.740129731825"/>
    <n v="20017.397787036574"/>
    <n v="-24.657657304749591"/>
    <n v="-0.76761145422042443"/>
    <n v="-25.425268758970017"/>
    <n v="0"/>
    <n v="0"/>
    <n v="0"/>
    <n v="-25.425268758970017"/>
  </r>
  <r>
    <x v="8"/>
    <d v="2021-10-05T00:00:00"/>
    <d v="2021-10-25T00:00:00"/>
    <x v="9"/>
    <n v="9"/>
    <n v="16"/>
    <n v="1177.4939874727397"/>
    <n v="1176.0435370430484"/>
    <n v="18816.696592688775"/>
    <n v="18839.903799563835"/>
    <n v="-23.207206875060365"/>
    <n v="-0.72245783926628171"/>
    <n v="-23.929664714326648"/>
    <n v="0"/>
    <n v="0"/>
    <n v="0"/>
    <n v="-23.929664714326648"/>
  </r>
  <r>
    <x v="9"/>
    <d v="2021-11-03T00:00:00"/>
    <d v="2021-11-24T00:00:00"/>
    <x v="9"/>
    <n v="9"/>
    <n v="5"/>
    <n v="1177.4939874727397"/>
    <n v="1176.0435370430484"/>
    <n v="5880.2176852152425"/>
    <n v="5887.4699373636986"/>
    <n v="-7.2522521484561366"/>
    <n v="-0.22576807477071306"/>
    <n v="-7.4780202232268493"/>
    <n v="0"/>
    <n v="0"/>
    <n v="0"/>
    <n v="-7.4780202232268493"/>
  </r>
  <r>
    <x v="10"/>
    <d v="2021-12-03T00:00:00"/>
    <d v="2021-12-27T00:00:00"/>
    <x v="9"/>
    <n v="9"/>
    <n v="5"/>
    <n v="1177.4939874727397"/>
    <n v="1176.0435370430484"/>
    <n v="5880.2176852152425"/>
    <n v="5887.4699373636986"/>
    <n v="-7.2522521484561366"/>
    <n v="-0.22576807477071306"/>
    <n v="-7.4780202232268493"/>
    <n v="0"/>
    <n v="0"/>
    <n v="0"/>
    <n v="-7.4780202232268493"/>
  </r>
  <r>
    <x v="11"/>
    <d v="2022-01-05T00:00:00"/>
    <d v="2022-01-24T00:00:00"/>
    <x v="9"/>
    <n v="9"/>
    <n v="6"/>
    <n v="1177.4939874727397"/>
    <n v="1176.0435370430484"/>
    <n v="7056.2612222582902"/>
    <n v="7064.9639248364383"/>
    <n v="-8.7027025781480916"/>
    <n v="-0.2709216897248557"/>
    <n v="-8.9736242678729479"/>
    <n v="0"/>
    <n v="0"/>
    <n v="0"/>
    <n v="-8.9736242678729479"/>
  </r>
  <r>
    <x v="0"/>
    <d v="2021-02-03T00:00:00"/>
    <d v="2021-02-24T00:00:00"/>
    <x v="10"/>
    <n v="9"/>
    <n v="3"/>
    <n v="1177.4939874727397"/>
    <n v="1176.0435370430484"/>
    <n v="3528.1306111291451"/>
    <n v="3532.4819624182192"/>
    <n v="-4.3513512890740458"/>
    <n v="-0.13546084486242785"/>
    <n v="-4.4868121339364739"/>
    <n v="0"/>
    <n v="0"/>
    <n v="0"/>
    <n v="-4.4868121339364739"/>
  </r>
  <r>
    <x v="1"/>
    <d v="2021-03-03T00:00:00"/>
    <d v="2021-03-24T00:00:00"/>
    <x v="10"/>
    <n v="9"/>
    <n v="5"/>
    <n v="1177.4939874727397"/>
    <n v="1176.0435370430484"/>
    <n v="5880.2176852152425"/>
    <n v="5887.4699373636986"/>
    <n v="-7.2522521484561366"/>
    <n v="-0.22576807477071306"/>
    <n v="-7.4780202232268493"/>
    <n v="0"/>
    <n v="0"/>
    <n v="0"/>
    <n v="-7.4780202232268493"/>
  </r>
  <r>
    <x v="2"/>
    <d v="2021-04-05T00:00:00"/>
    <d v="2021-04-26T00:00:00"/>
    <x v="10"/>
    <n v="9"/>
    <n v="4"/>
    <n v="1177.4939874727397"/>
    <n v="1176.0435370430484"/>
    <n v="4704.1741481721938"/>
    <n v="4709.9759498909589"/>
    <n v="-5.8018017187650912"/>
    <n v="-0.18061445981657043"/>
    <n v="-5.9824161785816621"/>
    <n v="0"/>
    <n v="0"/>
    <n v="0"/>
    <n v="-5.9824161785816621"/>
  </r>
  <r>
    <x v="3"/>
    <d v="2021-05-05T00:00:00"/>
    <d v="2021-05-24T00:00:00"/>
    <x v="10"/>
    <n v="9"/>
    <n v="4"/>
    <n v="1177.4939874727397"/>
    <n v="1176.0435370430484"/>
    <n v="4704.1741481721938"/>
    <n v="4709.9759498909589"/>
    <n v="-5.8018017187650912"/>
    <n v="-0.18061445981657043"/>
    <n v="-5.9824161785816621"/>
    <n v="0"/>
    <n v="0"/>
    <n v="0"/>
    <n v="-5.9824161785816621"/>
  </r>
  <r>
    <x v="4"/>
    <d v="2021-06-03T00:00:00"/>
    <d v="2021-06-24T00:00:00"/>
    <x v="10"/>
    <n v="9"/>
    <n v="3"/>
    <n v="1177.4939874727397"/>
    <n v="1176.0435370430484"/>
    <n v="3528.1306111291451"/>
    <n v="3532.4819624182192"/>
    <n v="-4.3513512890740458"/>
    <n v="-0.13546084486242785"/>
    <n v="-4.4868121339364739"/>
    <n v="0"/>
    <n v="0"/>
    <n v="0"/>
    <n v="-4.4868121339364739"/>
  </r>
  <r>
    <x v="5"/>
    <d v="2021-07-06T00:00:00"/>
    <d v="2021-07-24T00:00:00"/>
    <x v="10"/>
    <n v="9"/>
    <n v="5"/>
    <n v="1177.4939874727397"/>
    <n v="1176.0435370430484"/>
    <n v="5880.2176852152425"/>
    <n v="5887.4699373636986"/>
    <n v="-7.2522521484561366"/>
    <n v="-0.22576807477071306"/>
    <n v="-7.4780202232268493"/>
    <n v="0"/>
    <n v="0"/>
    <n v="0"/>
    <n v="-7.4780202232268493"/>
  </r>
  <r>
    <x v="6"/>
    <d v="2021-08-04T00:00:00"/>
    <d v="2021-08-24T00:00:00"/>
    <x v="10"/>
    <n v="9"/>
    <n v="5"/>
    <n v="1177.4939874727397"/>
    <n v="1176.0435370430484"/>
    <n v="5880.2176852152425"/>
    <n v="5887.4699373636986"/>
    <n v="-7.2522521484561366"/>
    <n v="-0.22576807477071306"/>
    <n v="-7.4780202232268493"/>
    <n v="0"/>
    <n v="0"/>
    <n v="0"/>
    <n v="-7.4780202232268493"/>
  </r>
  <r>
    <x v="7"/>
    <d v="2021-09-03T00:00:00"/>
    <d v="2021-09-24T00:00:00"/>
    <x v="10"/>
    <n v="9"/>
    <n v="4"/>
    <n v="1177.4939874727397"/>
    <n v="1176.0435370430484"/>
    <n v="4704.1741481721938"/>
    <n v="4709.9759498909589"/>
    <n v="-5.8018017187650912"/>
    <n v="-0.18061445981657043"/>
    <n v="-5.9824161785816621"/>
    <n v="0"/>
    <n v="0"/>
    <n v="0"/>
    <n v="-5.9824161785816621"/>
  </r>
  <r>
    <x v="8"/>
    <d v="2021-10-05T00:00:00"/>
    <d v="2021-10-25T00:00:00"/>
    <x v="10"/>
    <n v="9"/>
    <n v="4"/>
    <n v="1177.4939874727397"/>
    <n v="1176.0435370430484"/>
    <n v="4704.1741481721938"/>
    <n v="4709.9759498909589"/>
    <n v="-5.8018017187650912"/>
    <n v="-0.18061445981657043"/>
    <n v="-5.9824161785816621"/>
    <n v="0"/>
    <n v="0"/>
    <n v="0"/>
    <n v="-5.9824161785816621"/>
  </r>
  <r>
    <x v="9"/>
    <d v="2021-11-03T00:00:00"/>
    <d v="2021-11-24T00:00:00"/>
    <x v="10"/>
    <n v="9"/>
    <n v="4"/>
    <n v="1177.4939874727397"/>
    <n v="1176.0435370430484"/>
    <n v="4704.1741481721938"/>
    <n v="4709.9759498909589"/>
    <n v="-5.8018017187650912"/>
    <n v="-0.18061445981657043"/>
    <n v="-5.9824161785816621"/>
    <n v="0"/>
    <n v="0"/>
    <n v="0"/>
    <n v="-5.9824161785816621"/>
  </r>
  <r>
    <x v="10"/>
    <d v="2021-12-03T00:00:00"/>
    <d v="2021-12-27T00:00:00"/>
    <x v="10"/>
    <n v="9"/>
    <n v="4"/>
    <n v="1177.4939874727397"/>
    <n v="1176.0435370430484"/>
    <n v="4704.1741481721938"/>
    <n v="4709.9759498909589"/>
    <n v="-5.8018017187650912"/>
    <n v="-0.18061445981657043"/>
    <n v="-5.9824161785816621"/>
    <n v="0"/>
    <n v="0"/>
    <n v="0"/>
    <n v="-5.9824161785816621"/>
  </r>
  <r>
    <x v="11"/>
    <d v="2022-01-05T00:00:00"/>
    <d v="2022-01-24T00:00:00"/>
    <x v="10"/>
    <n v="9"/>
    <n v="1"/>
    <n v="1177.4939874727397"/>
    <n v="1176.0435370430484"/>
    <n v="1176.0435370430484"/>
    <n v="1177.4939874727397"/>
    <n v="-1.4504504296912728"/>
    <n v="-4.5153614954142607E-2"/>
    <n v="-1.4956040446454155"/>
    <n v="0"/>
    <n v="0"/>
    <n v="0"/>
    <n v="-1.4956040446454155"/>
  </r>
  <r>
    <x v="0"/>
    <d v="2021-02-03T00:00:00"/>
    <d v="2021-02-24T00:00:00"/>
    <x v="11"/>
    <n v="9"/>
    <n v="104"/>
    <n v="1177.4939874727397"/>
    <n v="1176.0435370430484"/>
    <n v="122308.52785247704"/>
    <n v="122459.37469716492"/>
    <n v="-150.84684468788328"/>
    <n v="-4.695975955230832"/>
    <n v="-155.54282064311411"/>
    <n v="0"/>
    <n v="0"/>
    <n v="0"/>
    <n v="-155.54282064311411"/>
  </r>
  <r>
    <x v="1"/>
    <d v="2021-03-03T00:00:00"/>
    <d v="2021-03-24T00:00:00"/>
    <x v="11"/>
    <n v="9"/>
    <n v="133"/>
    <n v="1177.4939874727397"/>
    <n v="1176.0435370430484"/>
    <n v="156413.79042672543"/>
    <n v="156606.70033387438"/>
    <n v="-192.90990714894724"/>
    <n v="-6.0054307889009673"/>
    <n v="-198.91533793784822"/>
    <n v="0"/>
    <n v="0"/>
    <n v="0"/>
    <n v="-198.91533793784822"/>
  </r>
  <r>
    <x v="2"/>
    <d v="2021-04-05T00:00:00"/>
    <d v="2021-04-26T00:00:00"/>
    <x v="11"/>
    <n v="9"/>
    <n v="87"/>
    <n v="1177.4939874727397"/>
    <n v="1176.0435370430484"/>
    <n v="102315.78772274521"/>
    <n v="102441.97691012836"/>
    <n v="-126.18918738314824"/>
    <n v="-3.9283645010104076"/>
    <n v="-130.11755188415864"/>
    <n v="0"/>
    <n v="0"/>
    <n v="0"/>
    <n v="-130.11755188415864"/>
  </r>
  <r>
    <x v="3"/>
    <d v="2021-05-05T00:00:00"/>
    <d v="2021-05-24T00:00:00"/>
    <x v="11"/>
    <n v="9"/>
    <n v="77"/>
    <n v="1177.4939874727397"/>
    <n v="1176.0435370430484"/>
    <n v="90555.352352314731"/>
    <n v="90667.037035400965"/>
    <n v="-111.68468308623414"/>
    <n v="-3.4768283514689813"/>
    <n v="-115.16151143770313"/>
    <n v="0"/>
    <n v="0"/>
    <n v="0"/>
    <n v="-115.16151143770313"/>
  </r>
  <r>
    <x v="4"/>
    <d v="2021-06-03T00:00:00"/>
    <d v="2021-06-24T00:00:00"/>
    <x v="11"/>
    <n v="9"/>
    <n v="104"/>
    <n v="1177.4939874727397"/>
    <n v="1176.0435370430484"/>
    <n v="122308.52785247704"/>
    <n v="122459.37469716492"/>
    <n v="-150.84684468788328"/>
    <n v="-4.695975955230832"/>
    <n v="-155.54282064311411"/>
    <n v="0"/>
    <n v="0"/>
    <n v="0"/>
    <n v="-155.54282064311411"/>
  </r>
  <r>
    <x v="5"/>
    <d v="2021-07-06T00:00:00"/>
    <d v="2021-07-24T00:00:00"/>
    <x v="11"/>
    <n v="9"/>
    <n v="144"/>
    <n v="1177.4939874727397"/>
    <n v="1176.0435370430484"/>
    <n v="169350.26933419897"/>
    <n v="169559.1341960745"/>
    <n v="-208.86486187553965"/>
    <n v="-6.5021205533965363"/>
    <n v="-215.36698242893618"/>
    <n v="0"/>
    <n v="0"/>
    <n v="0"/>
    <n v="-215.36698242893618"/>
  </r>
  <r>
    <x v="6"/>
    <d v="2021-08-04T00:00:00"/>
    <d v="2021-08-24T00:00:00"/>
    <x v="11"/>
    <n v="9"/>
    <n v="161"/>
    <n v="1177.4939874727397"/>
    <n v="1176.0435370430484"/>
    <n v="189343.00946393079"/>
    <n v="189576.53198311108"/>
    <n v="-233.52251918028924"/>
    <n v="-7.2697320076169607"/>
    <n v="-240.7922511879062"/>
    <n v="0"/>
    <n v="0"/>
    <n v="0"/>
    <n v="-240.7922511879062"/>
  </r>
  <r>
    <x v="7"/>
    <d v="2021-09-03T00:00:00"/>
    <d v="2021-09-24T00:00:00"/>
    <x v="11"/>
    <n v="9"/>
    <n v="163"/>
    <n v="1177.4939874727397"/>
    <n v="1176.0435370430484"/>
    <n v="191695.09653801689"/>
    <n v="191931.51995805657"/>
    <n v="-236.42342003967497"/>
    <n v="-7.3600392375252452"/>
    <n v="-243.78345927720022"/>
    <n v="0"/>
    <n v="0"/>
    <n v="0"/>
    <n v="-243.78345927720022"/>
  </r>
  <r>
    <x v="8"/>
    <d v="2021-10-05T00:00:00"/>
    <d v="2021-10-25T00:00:00"/>
    <x v="11"/>
    <n v="9"/>
    <n v="153"/>
    <n v="1177.4939874727397"/>
    <n v="1176.0435370430484"/>
    <n v="179934.66116758643"/>
    <n v="180156.58008332917"/>
    <n v="-221.91891574274632"/>
    <n v="-6.9085030879838198"/>
    <n v="-228.82741883073015"/>
    <n v="0"/>
    <n v="0"/>
    <n v="0"/>
    <n v="-228.82741883073015"/>
  </r>
  <r>
    <x v="9"/>
    <d v="2021-11-03T00:00:00"/>
    <d v="2021-11-24T00:00:00"/>
    <x v="11"/>
    <n v="9"/>
    <n v="117"/>
    <n v="1177.4939874727397"/>
    <n v="1176.0435370430484"/>
    <n v="137597.09383403667"/>
    <n v="137766.79653431056"/>
    <n v="-169.70270027389051"/>
    <n v="-5.2829729496346856"/>
    <n v="-174.9856732235252"/>
    <n v="0"/>
    <n v="0"/>
    <n v="0"/>
    <n v="-174.9856732235252"/>
  </r>
  <r>
    <x v="10"/>
    <d v="2021-12-03T00:00:00"/>
    <d v="2021-12-27T00:00:00"/>
    <x v="11"/>
    <n v="9"/>
    <n v="91"/>
    <n v="1177.4939874727397"/>
    <n v="1176.0435370430484"/>
    <n v="107019.96187091741"/>
    <n v="107151.95286001932"/>
    <n v="-131.99098910190514"/>
    <n v="-4.1089789608269776"/>
    <n v="-136.09996806273213"/>
    <n v="0"/>
    <n v="0"/>
    <n v="0"/>
    <n v="-136.09996806273213"/>
  </r>
  <r>
    <x v="11"/>
    <d v="2022-01-05T00:00:00"/>
    <d v="2022-01-24T00:00:00"/>
    <x v="11"/>
    <n v="9"/>
    <n v="94"/>
    <n v="1177.4939874727397"/>
    <n v="1176.0435370430484"/>
    <n v="110548.09248204656"/>
    <n v="110684.43482243753"/>
    <n v="-136.34234039096918"/>
    <n v="-4.2444398056894057"/>
    <n v="-140.58678019665859"/>
    <n v="0"/>
    <n v="0"/>
    <n v="0"/>
    <n v="-140.58678019665859"/>
  </r>
  <r>
    <x v="0"/>
    <d v="2021-02-03T00:00:00"/>
    <d v="2021-02-24T00:00:00"/>
    <x v="12"/>
    <n v="9"/>
    <n v="11"/>
    <n v="1177.4939874727397"/>
    <n v="1176.0435370430484"/>
    <n v="12936.478907473533"/>
    <n v="12952.433862200138"/>
    <n v="-15.954954726605138"/>
    <n v="-0.49668976449556879"/>
    <n v="-16.451644491100705"/>
    <n v="0"/>
    <n v="0"/>
    <n v="0"/>
    <n v="-16.451644491100705"/>
  </r>
  <r>
    <x v="1"/>
    <d v="2021-03-03T00:00:00"/>
    <d v="2021-03-24T00:00:00"/>
    <x v="12"/>
    <n v="9"/>
    <n v="8"/>
    <n v="1177.4939874727397"/>
    <n v="1176.0435370430484"/>
    <n v="9408.3482963443876"/>
    <n v="9419.9518997819177"/>
    <n v="-11.603603437530182"/>
    <n v="-0.36122891963314085"/>
    <n v="-11.964832357163324"/>
    <n v="0"/>
    <n v="0"/>
    <n v="0"/>
    <n v="-11.964832357163324"/>
  </r>
  <r>
    <x v="2"/>
    <d v="2021-04-05T00:00:00"/>
    <d v="2021-04-26T00:00:00"/>
    <x v="12"/>
    <n v="9"/>
    <n v="7"/>
    <n v="1177.4939874727397"/>
    <n v="1176.0435370430484"/>
    <n v="8232.3047593013398"/>
    <n v="8242.4579123091789"/>
    <n v="-10.153153007839137"/>
    <n v="-0.3160753046789983"/>
    <n v="-10.469228312518135"/>
    <n v="0"/>
    <n v="0"/>
    <n v="0"/>
    <n v="-10.469228312518135"/>
  </r>
  <r>
    <x v="3"/>
    <d v="2021-05-05T00:00:00"/>
    <d v="2021-05-24T00:00:00"/>
    <x v="12"/>
    <n v="9"/>
    <n v="12"/>
    <n v="1177.4939874727397"/>
    <n v="1176.0435370430484"/>
    <n v="14112.52244451658"/>
    <n v="14129.927849672877"/>
    <n v="-17.405405156296183"/>
    <n v="-0.54184337944971139"/>
    <n v="-17.947248535745896"/>
    <n v="0"/>
    <n v="0"/>
    <n v="0"/>
    <n v="-17.947248535745896"/>
  </r>
  <r>
    <x v="4"/>
    <d v="2021-06-03T00:00:00"/>
    <d v="2021-06-24T00:00:00"/>
    <x v="12"/>
    <n v="9"/>
    <n v="11"/>
    <n v="1177.4939874727397"/>
    <n v="1176.0435370430484"/>
    <n v="12936.478907473533"/>
    <n v="12952.433862200138"/>
    <n v="-15.954954726605138"/>
    <n v="-0.49668976449556879"/>
    <n v="-16.451644491100705"/>
    <n v="0"/>
    <n v="0"/>
    <n v="0"/>
    <n v="-16.451644491100705"/>
  </r>
  <r>
    <x v="5"/>
    <d v="2021-07-06T00:00:00"/>
    <d v="2021-07-24T00:00:00"/>
    <x v="12"/>
    <n v="9"/>
    <n v="13"/>
    <n v="1177.4939874727397"/>
    <n v="1176.0435370430484"/>
    <n v="15288.56598155963"/>
    <n v="15307.421837145615"/>
    <n v="-18.85585558598541"/>
    <n v="-0.586996994403854"/>
    <n v="-19.442852580389264"/>
    <n v="0"/>
    <n v="0"/>
    <n v="0"/>
    <n v="-19.442852580389264"/>
  </r>
  <r>
    <x v="6"/>
    <d v="2021-08-04T00:00:00"/>
    <d v="2021-08-24T00:00:00"/>
    <x v="12"/>
    <n v="9"/>
    <n v="13"/>
    <n v="1177.4939874727397"/>
    <n v="1176.0435370430484"/>
    <n v="15288.56598155963"/>
    <n v="15307.421837145615"/>
    <n v="-18.85585558598541"/>
    <n v="-0.586996994403854"/>
    <n v="-19.442852580389264"/>
    <n v="0"/>
    <n v="0"/>
    <n v="0"/>
    <n v="-19.442852580389264"/>
  </r>
  <r>
    <x v="7"/>
    <d v="2021-09-03T00:00:00"/>
    <d v="2021-09-24T00:00:00"/>
    <x v="12"/>
    <n v="9"/>
    <n v="12"/>
    <n v="1177.4939874727397"/>
    <n v="1176.0435370430484"/>
    <n v="14112.52244451658"/>
    <n v="14129.927849672877"/>
    <n v="-17.405405156296183"/>
    <n v="-0.54184337944971139"/>
    <n v="-17.947248535745896"/>
    <n v="0"/>
    <n v="0"/>
    <n v="0"/>
    <n v="-17.947248535745896"/>
  </r>
  <r>
    <x v="8"/>
    <d v="2021-10-05T00:00:00"/>
    <d v="2021-10-25T00:00:00"/>
    <x v="12"/>
    <n v="9"/>
    <n v="13"/>
    <n v="1177.4939874727397"/>
    <n v="1176.0435370430484"/>
    <n v="15288.56598155963"/>
    <n v="15307.421837145615"/>
    <n v="-18.85585558598541"/>
    <n v="-0.586996994403854"/>
    <n v="-19.442852580389264"/>
    <n v="0"/>
    <n v="0"/>
    <n v="0"/>
    <n v="-19.442852580389264"/>
  </r>
  <r>
    <x v="9"/>
    <d v="2021-11-03T00:00:00"/>
    <d v="2021-11-24T00:00:00"/>
    <x v="12"/>
    <n v="9"/>
    <n v="8"/>
    <n v="1177.4939874727397"/>
    <n v="1176.0435370430484"/>
    <n v="9408.3482963443876"/>
    <n v="9419.9518997819177"/>
    <n v="-11.603603437530182"/>
    <n v="-0.36122891963314085"/>
    <n v="-11.964832357163324"/>
    <n v="0"/>
    <n v="0"/>
    <n v="0"/>
    <n v="-11.964832357163324"/>
  </r>
  <r>
    <x v="10"/>
    <d v="2021-12-03T00:00:00"/>
    <d v="2021-12-27T00:00:00"/>
    <x v="12"/>
    <n v="9"/>
    <n v="8"/>
    <n v="1177.4939874727397"/>
    <n v="1176.0435370430484"/>
    <n v="9408.3482963443876"/>
    <n v="9419.9518997819177"/>
    <n v="-11.603603437530182"/>
    <n v="-0.36122891963314085"/>
    <n v="-11.964832357163324"/>
    <n v="0"/>
    <n v="0"/>
    <n v="0"/>
    <n v="-11.964832357163324"/>
  </r>
  <r>
    <x v="11"/>
    <d v="2022-01-05T00:00:00"/>
    <d v="2022-01-24T00:00:00"/>
    <x v="12"/>
    <n v="9"/>
    <n v="11"/>
    <n v="1177.4939874727397"/>
    <n v="1176.0435370430484"/>
    <n v="12936.478907473533"/>
    <n v="12952.433862200138"/>
    <n v="-15.954954726605138"/>
    <n v="-0.49668976449556879"/>
    <n v="-16.451644491100705"/>
    <n v="0"/>
    <n v="0"/>
    <n v="0"/>
    <n v="-16.451644491100705"/>
  </r>
  <r>
    <x v="0"/>
    <d v="2021-02-03T00:00:00"/>
    <d v="2021-02-24T00:00:00"/>
    <x v="13"/>
    <n v="9"/>
    <n v="20"/>
    <n v="1177.4939874727397"/>
    <n v="1176.0435370430484"/>
    <n v="23520.87074086097"/>
    <n v="23549.879749454794"/>
    <n v="-29.009008593824547"/>
    <n v="-0.90307229908285225"/>
    <n v="-29.912080892907397"/>
    <n v="0"/>
    <n v="0"/>
    <n v="0"/>
    <n v="-29.912080892907397"/>
  </r>
  <r>
    <x v="1"/>
    <d v="2021-03-03T00:00:00"/>
    <d v="2021-03-24T00:00:00"/>
    <x v="13"/>
    <n v="9"/>
    <n v="23"/>
    <n v="1177.4939874727397"/>
    <n v="1176.0435370430484"/>
    <n v="27049.001351990115"/>
    <n v="27082.361711873014"/>
    <n v="-33.360359882899502"/>
    <n v="-1.0385331439452801"/>
    <n v="-34.398893026844782"/>
    <n v="0"/>
    <n v="0"/>
    <n v="0"/>
    <n v="-34.398893026844782"/>
  </r>
  <r>
    <x v="2"/>
    <d v="2021-04-05T00:00:00"/>
    <d v="2021-04-26T00:00:00"/>
    <x v="13"/>
    <n v="9"/>
    <n v="16"/>
    <n v="1177.4939874727397"/>
    <n v="1176.0435370430484"/>
    <n v="18816.696592688775"/>
    <n v="18839.903799563835"/>
    <n v="-23.207206875060365"/>
    <n v="-0.72245783926628171"/>
    <n v="-23.929664714326648"/>
    <n v="0"/>
    <n v="0"/>
    <n v="0"/>
    <n v="-23.929664714326648"/>
  </r>
  <r>
    <x v="3"/>
    <d v="2021-05-05T00:00:00"/>
    <d v="2021-05-24T00:00:00"/>
    <x v="13"/>
    <n v="9"/>
    <n v="20"/>
    <n v="1177.4939874727397"/>
    <n v="1176.0435370430484"/>
    <n v="23520.87074086097"/>
    <n v="23549.879749454794"/>
    <n v="-29.009008593824547"/>
    <n v="-0.90307229908285225"/>
    <n v="-29.912080892907397"/>
    <n v="0"/>
    <n v="0"/>
    <n v="0"/>
    <n v="-29.912080892907397"/>
  </r>
  <r>
    <x v="4"/>
    <d v="2021-06-03T00:00:00"/>
    <d v="2021-06-24T00:00:00"/>
    <x v="13"/>
    <n v="9"/>
    <n v="27"/>
    <n v="1177.4939874727397"/>
    <n v="1176.0435370430484"/>
    <n v="31753.17550016231"/>
    <n v="31792.337661763973"/>
    <n v="-39.162161601663684"/>
    <n v="-1.2191476037618505"/>
    <n v="-40.381309205425531"/>
    <n v="0"/>
    <n v="0"/>
    <n v="0"/>
    <n v="-40.381309205425531"/>
  </r>
  <r>
    <x v="5"/>
    <d v="2021-07-06T00:00:00"/>
    <d v="2021-07-24T00:00:00"/>
    <x v="13"/>
    <n v="9"/>
    <n v="32"/>
    <n v="1177.4939874727397"/>
    <n v="1176.0435370430484"/>
    <n v="37633.39318537755"/>
    <n v="37679.807599127671"/>
    <n v="-46.41441375012073"/>
    <n v="-1.4449156785325634"/>
    <n v="-47.859329428653297"/>
    <n v="0"/>
    <n v="0"/>
    <n v="0"/>
    <n v="-47.859329428653297"/>
  </r>
  <r>
    <x v="6"/>
    <d v="2021-08-04T00:00:00"/>
    <d v="2021-08-24T00:00:00"/>
    <x v="13"/>
    <n v="9"/>
    <n v="37"/>
    <n v="1177.4939874727397"/>
    <n v="1176.0435370430484"/>
    <n v="43513.610870592791"/>
    <n v="43567.277536491369"/>
    <n v="-53.666665898577776"/>
    <n v="-1.6706837533032768"/>
    <n v="-55.337349651881055"/>
    <n v="0"/>
    <n v="0"/>
    <n v="0"/>
    <n v="-55.337349651881055"/>
  </r>
  <r>
    <x v="7"/>
    <d v="2021-09-03T00:00:00"/>
    <d v="2021-09-24T00:00:00"/>
    <x v="13"/>
    <n v="9"/>
    <n v="33"/>
    <n v="1177.4939874727397"/>
    <n v="1176.0435370430484"/>
    <n v="38809.4367224206"/>
    <n v="38857.301586600413"/>
    <n v="-47.864864179813594"/>
    <n v="-1.4900692934867061"/>
    <n v="-49.354933473300299"/>
    <n v="0"/>
    <n v="0"/>
    <n v="0"/>
    <n v="-49.354933473300299"/>
  </r>
  <r>
    <x v="8"/>
    <d v="2021-10-05T00:00:00"/>
    <d v="2021-10-25T00:00:00"/>
    <x v="13"/>
    <n v="9"/>
    <n v="37"/>
    <n v="1177.4939874727397"/>
    <n v="1176.0435370430484"/>
    <n v="43513.610870592791"/>
    <n v="43567.277536491369"/>
    <n v="-53.666665898577776"/>
    <n v="-1.6706837533032768"/>
    <n v="-55.337349651881055"/>
    <n v="0"/>
    <n v="0"/>
    <n v="0"/>
    <n v="-55.337349651881055"/>
  </r>
  <r>
    <x v="9"/>
    <d v="2021-11-03T00:00:00"/>
    <d v="2021-11-24T00:00:00"/>
    <x v="13"/>
    <n v="9"/>
    <n v="27"/>
    <n v="1177.4939874727397"/>
    <n v="1176.0435370430484"/>
    <n v="31753.17550016231"/>
    <n v="31792.337661763973"/>
    <n v="-39.162161601663684"/>
    <n v="-1.2191476037618505"/>
    <n v="-40.381309205425531"/>
    <n v="0"/>
    <n v="0"/>
    <n v="0"/>
    <n v="-40.381309205425531"/>
  </r>
  <r>
    <x v="10"/>
    <d v="2021-12-03T00:00:00"/>
    <d v="2021-12-27T00:00:00"/>
    <x v="13"/>
    <n v="9"/>
    <n v="16"/>
    <n v="1177.4939874727397"/>
    <n v="1176.0435370430484"/>
    <n v="18816.696592688775"/>
    <n v="18839.903799563835"/>
    <n v="-23.207206875060365"/>
    <n v="-0.72245783926628171"/>
    <n v="-23.929664714326648"/>
    <n v="0"/>
    <n v="0"/>
    <n v="0"/>
    <n v="-23.929664714326648"/>
  </r>
  <r>
    <x v="11"/>
    <d v="2022-01-05T00:00:00"/>
    <d v="2022-01-24T00:00:00"/>
    <x v="13"/>
    <n v="9"/>
    <n v="19"/>
    <n v="1177.4939874727397"/>
    <n v="1176.0435370430484"/>
    <n v="22344.82720381792"/>
    <n v="22372.385761982056"/>
    <n v="-27.55855816413532"/>
    <n v="-0.85791868412870964"/>
    <n v="-28.416476848264029"/>
    <n v="0"/>
    <n v="0"/>
    <n v="0"/>
    <n v="-28.416476848264029"/>
  </r>
  <r>
    <x v="0"/>
    <d v="2021-02-03T00:00:00"/>
    <d v="2021-02-24T00:00:00"/>
    <x v="14"/>
    <n v="9"/>
    <n v="35"/>
    <n v="1177.4939874727397"/>
    <n v="1176.0435370430484"/>
    <n v="41161.523796506699"/>
    <n v="41212.289561545891"/>
    <n v="-50.765765039192047"/>
    <n v="-1.5803765233949916"/>
    <n v="-52.346141562587036"/>
    <n v="0"/>
    <n v="0"/>
    <n v="0"/>
    <n v="-52.346141562587036"/>
  </r>
  <r>
    <x v="1"/>
    <d v="2021-03-03T00:00:00"/>
    <d v="2021-03-24T00:00:00"/>
    <x v="14"/>
    <n v="9"/>
    <n v="33"/>
    <n v="1177.4939874727397"/>
    <n v="1176.0435370430484"/>
    <n v="38809.4367224206"/>
    <n v="38857.301586600413"/>
    <n v="-47.864864179813594"/>
    <n v="-1.4900692934867061"/>
    <n v="-49.354933473300299"/>
    <n v="0"/>
    <n v="0"/>
    <n v="0"/>
    <n v="-49.354933473300299"/>
  </r>
  <r>
    <x v="2"/>
    <d v="2021-04-05T00:00:00"/>
    <d v="2021-04-26T00:00:00"/>
    <x v="14"/>
    <n v="9"/>
    <n v="30"/>
    <n v="1177.4939874727397"/>
    <n v="1176.0435370430484"/>
    <n v="35281.306111291451"/>
    <n v="35324.819624182193"/>
    <n v="-43.513512890742277"/>
    <n v="-1.3546084486242784"/>
    <n v="-44.868121339366553"/>
    <n v="0"/>
    <n v="0"/>
    <n v="0"/>
    <n v="-44.868121339366553"/>
  </r>
  <r>
    <x v="3"/>
    <d v="2021-05-05T00:00:00"/>
    <d v="2021-05-24T00:00:00"/>
    <x v="14"/>
    <n v="9"/>
    <n v="32"/>
    <n v="1177.4939874727397"/>
    <n v="1176.0435370430484"/>
    <n v="37633.39318537755"/>
    <n v="37679.807599127671"/>
    <n v="-46.41441375012073"/>
    <n v="-1.4449156785325634"/>
    <n v="-47.859329428653297"/>
    <n v="0"/>
    <n v="0"/>
    <n v="0"/>
    <n v="-47.859329428653297"/>
  </r>
  <r>
    <x v="4"/>
    <d v="2021-06-03T00:00:00"/>
    <d v="2021-06-24T00:00:00"/>
    <x v="14"/>
    <n v="9"/>
    <n v="40"/>
    <n v="1177.4939874727397"/>
    <n v="1176.0435370430484"/>
    <n v="47041.74148172194"/>
    <n v="47099.759498909589"/>
    <n v="-58.018017187649093"/>
    <n v="-1.8061445981657045"/>
    <n v="-59.824161785814795"/>
    <n v="0"/>
    <n v="0"/>
    <n v="0"/>
    <n v="-59.824161785814795"/>
  </r>
  <r>
    <x v="5"/>
    <d v="2021-07-06T00:00:00"/>
    <d v="2021-07-24T00:00:00"/>
    <x v="14"/>
    <n v="9"/>
    <n v="46"/>
    <n v="1177.4939874727397"/>
    <n v="1176.0435370430484"/>
    <n v="54098.00270398023"/>
    <n v="54164.723423746029"/>
    <n v="-66.720719765799004"/>
    <n v="-2.0770662878905601"/>
    <n v="-68.797786053689563"/>
    <n v="0"/>
    <n v="0"/>
    <n v="0"/>
    <n v="-68.797786053689563"/>
  </r>
  <r>
    <x v="6"/>
    <d v="2021-08-04T00:00:00"/>
    <d v="2021-08-24T00:00:00"/>
    <x v="14"/>
    <n v="9"/>
    <n v="48"/>
    <n v="1177.4939874727397"/>
    <n v="1176.0435370430484"/>
    <n v="56450.089778066322"/>
    <n v="56519.711398691506"/>
    <n v="-69.621620625184732"/>
    <n v="-2.1673735177988456"/>
    <n v="-71.788994142983583"/>
    <n v="0"/>
    <n v="0"/>
    <n v="0"/>
    <n v="-71.788994142983583"/>
  </r>
  <r>
    <x v="7"/>
    <d v="2021-09-03T00:00:00"/>
    <d v="2021-09-24T00:00:00"/>
    <x v="14"/>
    <n v="9"/>
    <n v="50"/>
    <n v="1177.4939874727397"/>
    <n v="1176.0435370430484"/>
    <n v="58802.176852152421"/>
    <n v="58874.699373636984"/>
    <n v="-72.522521484563185"/>
    <n v="-2.257680747707131"/>
    <n v="-74.780202232270312"/>
    <n v="0"/>
    <n v="0"/>
    <n v="0"/>
    <n v="-74.780202232270312"/>
  </r>
  <r>
    <x v="8"/>
    <d v="2021-10-05T00:00:00"/>
    <d v="2021-10-25T00:00:00"/>
    <x v="14"/>
    <n v="9"/>
    <n v="52"/>
    <n v="1177.4939874727397"/>
    <n v="1176.0435370430484"/>
    <n v="61154.26392623852"/>
    <n v="61229.687348582462"/>
    <n v="-75.423422343941638"/>
    <n v="-2.347987977615416"/>
    <n v="-77.771410321557056"/>
    <n v="0"/>
    <n v="0"/>
    <n v="0"/>
    <n v="-77.771410321557056"/>
  </r>
  <r>
    <x v="9"/>
    <d v="2021-11-03T00:00:00"/>
    <d v="2021-11-24T00:00:00"/>
    <x v="14"/>
    <n v="9"/>
    <n v="40"/>
    <n v="1177.4939874727397"/>
    <n v="1176.0435370430484"/>
    <n v="47041.74148172194"/>
    <n v="47099.759498909589"/>
    <n v="-58.018017187649093"/>
    <n v="-1.8061445981657045"/>
    <n v="-59.824161785814795"/>
    <n v="0"/>
    <n v="0"/>
    <n v="0"/>
    <n v="-59.824161785814795"/>
  </r>
  <r>
    <x v="10"/>
    <d v="2021-12-03T00:00:00"/>
    <d v="2021-12-27T00:00:00"/>
    <x v="14"/>
    <n v="9"/>
    <n v="32"/>
    <n v="1177.4939874727397"/>
    <n v="1176.0435370430484"/>
    <n v="37633.39318537755"/>
    <n v="37679.807599127671"/>
    <n v="-46.41441375012073"/>
    <n v="-1.4449156785325634"/>
    <n v="-47.859329428653297"/>
    <n v="0"/>
    <n v="0"/>
    <n v="0"/>
    <n v="-47.859329428653297"/>
  </r>
  <r>
    <x v="11"/>
    <d v="2022-01-05T00:00:00"/>
    <d v="2022-01-24T00:00:00"/>
    <x v="14"/>
    <n v="9"/>
    <n v="35"/>
    <n v="1177.4939874727397"/>
    <n v="1176.0435370430484"/>
    <n v="41161.523796506699"/>
    <n v="41212.289561545891"/>
    <n v="-50.765765039192047"/>
    <n v="-1.5803765233949916"/>
    <n v="-52.346141562587036"/>
    <n v="0"/>
    <n v="0"/>
    <n v="0"/>
    <n v="-52.346141562587036"/>
  </r>
  <r>
    <x v="0"/>
    <d v="2021-02-03T00:00:00"/>
    <d v="2021-02-24T00:00:00"/>
    <x v="15"/>
    <n v="9"/>
    <n v="94"/>
    <n v="1177.4939874727397"/>
    <n v="1176.0435370430484"/>
    <n v="110548.09248204656"/>
    <n v="110684.43482243753"/>
    <n v="-136.34234039096918"/>
    <n v="-4.2444398056894057"/>
    <n v="-140.58678019665859"/>
    <n v="0"/>
    <n v="0"/>
    <n v="0"/>
    <n v="-140.58678019665859"/>
  </r>
  <r>
    <x v="1"/>
    <d v="2021-03-03T00:00:00"/>
    <d v="2021-03-24T00:00:00"/>
    <x v="15"/>
    <n v="9"/>
    <n v="100"/>
    <n v="1177.4939874727397"/>
    <n v="1176.0435370430484"/>
    <n v="117604.35370430484"/>
    <n v="117749.39874727397"/>
    <n v="-145.04504296912637"/>
    <n v="-4.515361495414262"/>
    <n v="-149.56040446454062"/>
    <n v="0"/>
    <n v="0"/>
    <n v="0"/>
    <n v="-149.56040446454062"/>
  </r>
  <r>
    <x v="2"/>
    <d v="2021-04-05T00:00:00"/>
    <d v="2021-04-26T00:00:00"/>
    <x v="15"/>
    <n v="9"/>
    <n v="101"/>
    <n v="1177.4939874727397"/>
    <n v="1176.0435370430484"/>
    <n v="118780.39724134789"/>
    <n v="118926.89273474671"/>
    <n v="-146.49549339881924"/>
    <n v="-4.5605151103684038"/>
    <n v="-151.05600850918765"/>
    <n v="0"/>
    <n v="0"/>
    <n v="0"/>
    <n v="-151.05600850918765"/>
  </r>
  <r>
    <x v="3"/>
    <d v="2021-05-05T00:00:00"/>
    <d v="2021-05-24T00:00:00"/>
    <x v="15"/>
    <n v="9"/>
    <n v="98"/>
    <n v="1177.4939874727397"/>
    <n v="1176.0435370430484"/>
    <n v="115252.26663021874"/>
    <n v="115394.4107723285"/>
    <n v="-142.14414210975519"/>
    <n v="-4.4250542655059766"/>
    <n v="-146.56919637526116"/>
    <n v="0"/>
    <n v="0"/>
    <n v="0"/>
    <n v="-146.56919637526116"/>
  </r>
  <r>
    <x v="4"/>
    <d v="2021-06-03T00:00:00"/>
    <d v="2021-06-24T00:00:00"/>
    <x v="15"/>
    <n v="9"/>
    <n v="99"/>
    <n v="1177.4939874727397"/>
    <n v="1176.0435370430484"/>
    <n v="116428.31016726179"/>
    <n v="116571.90475980123"/>
    <n v="-143.59459253943351"/>
    <n v="-4.4702078804601193"/>
    <n v="-148.06480041989363"/>
    <n v="0"/>
    <n v="0"/>
    <n v="0"/>
    <n v="-148.06480041989363"/>
  </r>
  <r>
    <x v="5"/>
    <d v="2021-07-06T00:00:00"/>
    <d v="2021-07-24T00:00:00"/>
    <x v="15"/>
    <n v="9"/>
    <n v="113"/>
    <n v="1177.4939874727397"/>
    <n v="1176.0435370430484"/>
    <n v="132892.91968586447"/>
    <n v="133056.82058441959"/>
    <n v="-163.90089855511906"/>
    <n v="-5.1023584898181156"/>
    <n v="-169.00325704493719"/>
    <n v="0"/>
    <n v="0"/>
    <n v="0"/>
    <n v="-169.00325704493719"/>
  </r>
  <r>
    <x v="6"/>
    <d v="2021-08-04T00:00:00"/>
    <d v="2021-08-24T00:00:00"/>
    <x v="15"/>
    <n v="9"/>
    <n v="116"/>
    <n v="1177.4939874727397"/>
    <n v="1176.0435370430484"/>
    <n v="136421.05029699361"/>
    <n v="136589.3025468378"/>
    <n v="-168.25224984419765"/>
    <n v="-5.2378193346805428"/>
    <n v="-173.4900691788782"/>
    <n v="0"/>
    <n v="0"/>
    <n v="0"/>
    <n v="-173.4900691788782"/>
  </r>
  <r>
    <x v="7"/>
    <d v="2021-09-03T00:00:00"/>
    <d v="2021-09-24T00:00:00"/>
    <x v="15"/>
    <n v="9"/>
    <n v="116"/>
    <n v="1177.4939874727397"/>
    <n v="1176.0435370430484"/>
    <n v="136421.05029699361"/>
    <n v="136589.3025468378"/>
    <n v="-168.25224984419765"/>
    <n v="-5.2378193346805428"/>
    <n v="-173.4900691788782"/>
    <n v="0"/>
    <n v="0"/>
    <n v="0"/>
    <n v="-173.4900691788782"/>
  </r>
  <r>
    <x v="8"/>
    <d v="2021-10-05T00:00:00"/>
    <d v="2021-10-25T00:00:00"/>
    <x v="15"/>
    <n v="9"/>
    <n v="116"/>
    <n v="1177.4939874727397"/>
    <n v="1176.0435370430484"/>
    <n v="136421.05029699361"/>
    <n v="136589.3025468378"/>
    <n v="-168.25224984419765"/>
    <n v="-5.2378193346805428"/>
    <n v="-173.4900691788782"/>
    <n v="0"/>
    <n v="0"/>
    <n v="0"/>
    <n v="-173.4900691788782"/>
  </r>
  <r>
    <x v="9"/>
    <d v="2021-11-03T00:00:00"/>
    <d v="2021-11-24T00:00:00"/>
    <x v="15"/>
    <n v="9"/>
    <n v="105"/>
    <n v="1177.4939874727397"/>
    <n v="1176.0435370430484"/>
    <n v="123484.57138952009"/>
    <n v="123636.86868463767"/>
    <n v="-152.29729511757614"/>
    <n v="-4.7411295701849747"/>
    <n v="-157.03842468776111"/>
    <n v="0"/>
    <n v="0"/>
    <n v="0"/>
    <n v="-157.03842468776111"/>
  </r>
  <r>
    <x v="10"/>
    <d v="2021-12-03T00:00:00"/>
    <d v="2021-12-27T00:00:00"/>
    <x v="15"/>
    <n v="9"/>
    <n v="100"/>
    <n v="1177.4939874727397"/>
    <n v="1176.0435370430484"/>
    <n v="117604.35370430484"/>
    <n v="117749.39874727397"/>
    <n v="-145.04504296912637"/>
    <n v="-4.515361495414262"/>
    <n v="-149.56040446454062"/>
    <n v="0"/>
    <n v="0"/>
    <n v="0"/>
    <n v="-149.56040446454062"/>
  </r>
  <r>
    <x v="11"/>
    <d v="2022-01-05T00:00:00"/>
    <d v="2022-01-24T00:00:00"/>
    <x v="15"/>
    <n v="9"/>
    <n v="103"/>
    <n v="1177.4939874727397"/>
    <n v="1176.0435370430484"/>
    <n v="121132.48431543399"/>
    <n v="121281.8807096922"/>
    <n v="-149.39639425820496"/>
    <n v="-4.6508223402766893"/>
    <n v="-154.04721659848164"/>
    <n v="0"/>
    <n v="0"/>
    <n v="0"/>
    <n v="-154.047216598481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30" dataOnRows="1" applyNumberFormats="0" applyBorderFormats="0" applyFontFormats="0" applyPatternFormats="0" applyAlignmentFormats="0" applyWidthHeightFormats="1" dataCaption="Data" updatedVersion="7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45">
        <item m="1" x="53"/>
        <item m="1" x="75"/>
        <item m="1" x="97"/>
        <item m="1" x="119"/>
        <item m="1" x="141"/>
        <item m="1" x="31"/>
        <item m="1" x="64"/>
        <item m="1" x="86"/>
        <item m="1" x="108"/>
        <item m="1" x="130"/>
        <item m="1" x="20"/>
        <item m="1" x="42"/>
        <item m="1" x="54"/>
        <item m="1" x="76"/>
        <item m="1" x="98"/>
        <item m="1" x="120"/>
        <item m="1" x="142"/>
        <item m="1" x="32"/>
        <item m="1" x="65"/>
        <item m="1" x="87"/>
        <item m="1" x="109"/>
        <item m="1" x="131"/>
        <item m="1" x="21"/>
        <item m="1" x="43"/>
        <item m="1" x="55"/>
        <item m="1" x="77"/>
        <item m="1" x="99"/>
        <item m="1" x="121"/>
        <item m="1" x="143"/>
        <item m="1" x="33"/>
        <item m="1" x="66"/>
        <item m="1" x="88"/>
        <item m="1" x="110"/>
        <item m="1" x="132"/>
        <item m="1" x="22"/>
        <item m="1" x="44"/>
        <item m="1" x="56"/>
        <item m="1" x="78"/>
        <item m="1" x="100"/>
        <item m="1" x="122"/>
        <item m="1" x="12"/>
        <item m="1" x="34"/>
        <item m="1" x="67"/>
        <item m="1" x="89"/>
        <item m="1" x="111"/>
        <item m="1" x="133"/>
        <item m="1" x="23"/>
        <item m="1" x="45"/>
        <item m="1" x="57"/>
        <item m="1" x="79"/>
        <item m="1" x="101"/>
        <item m="1" x="123"/>
        <item m="1" x="13"/>
        <item m="1" x="35"/>
        <item m="1" x="68"/>
        <item m="1" x="90"/>
        <item m="1" x="112"/>
        <item m="1" x="134"/>
        <item m="1" x="24"/>
        <item m="1" x="46"/>
        <item m="1" x="58"/>
        <item m="1" x="80"/>
        <item m="1" x="102"/>
        <item m="1" x="124"/>
        <item m="1" x="14"/>
        <item m="1" x="36"/>
        <item m="1" x="69"/>
        <item m="1" x="91"/>
        <item m="1" x="113"/>
        <item m="1" x="135"/>
        <item m="1" x="25"/>
        <item m="1" x="47"/>
        <item m="1" x="59"/>
        <item m="1" x="81"/>
        <item m="1" x="103"/>
        <item m="1" x="125"/>
        <item m="1" x="15"/>
        <item m="1" x="37"/>
        <item m="1" x="70"/>
        <item m="1" x="92"/>
        <item m="1" x="114"/>
        <item m="1" x="136"/>
        <item m="1" x="26"/>
        <item m="1" x="48"/>
        <item m="1" x="60"/>
        <item m="1" x="82"/>
        <item m="1" x="104"/>
        <item m="1" x="126"/>
        <item m="1" x="16"/>
        <item m="1" x="38"/>
        <item m="1" x="71"/>
        <item m="1" x="93"/>
        <item m="1" x="115"/>
        <item m="1" x="137"/>
        <item m="1" x="27"/>
        <item m="1" x="49"/>
        <item m="1" x="61"/>
        <item m="1" x="83"/>
        <item m="1" x="105"/>
        <item m="1" x="127"/>
        <item m="1" x="17"/>
        <item m="1" x="39"/>
        <item m="1" x="72"/>
        <item m="1" x="94"/>
        <item m="1" x="116"/>
        <item m="1" x="138"/>
        <item m="1" x="28"/>
        <item m="1" x="50"/>
        <item m="1" x="62"/>
        <item m="1" x="84"/>
        <item m="1" x="106"/>
        <item m="1" x="128"/>
        <item m="1" x="18"/>
        <item m="1" x="40"/>
        <item m="1" x="73"/>
        <item m="1" x="95"/>
        <item m="1" x="117"/>
        <item m="1" x="139"/>
        <item m="1" x="29"/>
        <item m="1" x="51"/>
        <item m="1" x="63"/>
        <item m="1" x="85"/>
        <item m="1" x="107"/>
        <item m="1" x="129"/>
        <item m="1" x="19"/>
        <item m="1" x="41"/>
        <item m="1" x="74"/>
        <item m="1" x="96"/>
        <item m="1" x="118"/>
        <item m="1" x="140"/>
        <item m="1" x="30"/>
        <item m="1"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workbookViewId="0">
      <selection activeCell="C25" sqref="C25"/>
    </sheetView>
  </sheetViews>
  <sheetFormatPr defaultColWidth="8.7109375" defaultRowHeight="12.75" x14ac:dyDescent="0.2"/>
  <cols>
    <col min="1" max="16384" width="8.7109375" style="1"/>
  </cols>
  <sheetData>
    <row r="1" spans="1:2" x14ac:dyDescent="0.2">
      <c r="A1" s="1" t="s">
        <v>65</v>
      </c>
    </row>
    <row r="3" spans="1:2" x14ac:dyDescent="0.2">
      <c r="A3" s="2">
        <v>1</v>
      </c>
      <c r="B3" s="3" t="s">
        <v>67</v>
      </c>
    </row>
    <row r="4" spans="1:2" x14ac:dyDescent="0.2">
      <c r="A4" s="2">
        <v>2</v>
      </c>
      <c r="B4" s="3" t="s">
        <v>66</v>
      </c>
    </row>
    <row r="5" spans="1:2" x14ac:dyDescent="0.2">
      <c r="A5" s="2">
        <v>3</v>
      </c>
      <c r="B5" s="3" t="s">
        <v>68</v>
      </c>
    </row>
    <row r="6" spans="1:2" x14ac:dyDescent="0.2">
      <c r="A6" s="2">
        <v>4</v>
      </c>
      <c r="B6" s="4" t="s">
        <v>82</v>
      </c>
    </row>
    <row r="7" spans="1:2" x14ac:dyDescent="0.2">
      <c r="A7" s="2">
        <v>5</v>
      </c>
      <c r="B7" s="3" t="s">
        <v>69</v>
      </c>
    </row>
    <row r="8" spans="1:2" x14ac:dyDescent="0.2">
      <c r="A8" s="2">
        <v>6</v>
      </c>
      <c r="B8" s="3" t="s">
        <v>70</v>
      </c>
    </row>
    <row r="9" spans="1:2" x14ac:dyDescent="0.2">
      <c r="A9" s="2">
        <v>7</v>
      </c>
      <c r="B9" s="5" t="s">
        <v>71</v>
      </c>
    </row>
    <row r="10" spans="1:2" x14ac:dyDescent="0.2">
      <c r="A10" s="2">
        <v>8</v>
      </c>
      <c r="B10" s="3" t="s">
        <v>74</v>
      </c>
    </row>
    <row r="11" spans="1:2" x14ac:dyDescent="0.2">
      <c r="A11" s="2"/>
      <c r="B11" s="3" t="s">
        <v>75</v>
      </c>
    </row>
    <row r="12" spans="1:2" x14ac:dyDescent="0.2">
      <c r="A12" s="2"/>
      <c r="B12" s="5" t="s">
        <v>76</v>
      </c>
    </row>
    <row r="13" spans="1:2" x14ac:dyDescent="0.2">
      <c r="A13" s="2"/>
      <c r="B13" s="5" t="s">
        <v>77</v>
      </c>
    </row>
    <row r="14" spans="1:2" x14ac:dyDescent="0.2">
      <c r="A14" s="2">
        <v>9</v>
      </c>
      <c r="B14" s="3" t="s">
        <v>78</v>
      </c>
    </row>
    <row r="15" spans="1:2" x14ac:dyDescent="0.2">
      <c r="A15" s="2">
        <v>10</v>
      </c>
      <c r="B15" s="3" t="s">
        <v>80</v>
      </c>
    </row>
    <row r="16" spans="1:2" x14ac:dyDescent="0.2">
      <c r="A16" s="2">
        <v>11</v>
      </c>
      <c r="B16" s="3" t="s">
        <v>81</v>
      </c>
    </row>
    <row r="17" spans="1:1" x14ac:dyDescent="0.2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45"/>
  <sheetViews>
    <sheetView tabSelected="1" zoomScale="85" zoomScaleNormal="85" zoomScaleSheetLayoutView="100" workbookViewId="0">
      <selection activeCell="C10" sqref="C10"/>
    </sheetView>
  </sheetViews>
  <sheetFormatPr defaultColWidth="33.28515625" defaultRowHeight="12.75" x14ac:dyDescent="0.2"/>
  <cols>
    <col min="1" max="1" width="9.140625" style="1" customWidth="1"/>
    <col min="2" max="2" width="14" style="1" customWidth="1"/>
    <col min="3" max="3" width="21.85546875" style="1" customWidth="1"/>
    <col min="4" max="4" width="15.5703125" style="1" customWidth="1"/>
    <col min="5" max="16" width="14" style="1" customWidth="1"/>
    <col min="17" max="17" width="15" style="1" customWidth="1"/>
    <col min="18" max="110" width="31.7109375" style="1" customWidth="1"/>
    <col min="111" max="111" width="11.42578125" style="1" customWidth="1"/>
    <col min="112" max="16384" width="33.28515625" style="1"/>
  </cols>
  <sheetData>
    <row r="1" spans="2:19" x14ac:dyDescent="0.2">
      <c r="C1" s="256" t="str">
        <f>+Transactions!B1</f>
        <v>AEPTCo Formula Rate -- FERC Docket ER18-194</v>
      </c>
      <c r="D1" s="256"/>
      <c r="E1" s="256"/>
      <c r="F1" s="256"/>
      <c r="G1" s="256"/>
      <c r="H1" s="256"/>
      <c r="I1" s="256"/>
      <c r="L1" s="6">
        <v>2022</v>
      </c>
    </row>
    <row r="2" spans="2:19" x14ac:dyDescent="0.2">
      <c r="C2" s="256" t="s">
        <v>36</v>
      </c>
      <c r="D2" s="256"/>
      <c r="E2" s="256"/>
      <c r="F2" s="256"/>
      <c r="G2" s="256"/>
      <c r="H2" s="256"/>
      <c r="I2" s="256"/>
    </row>
    <row r="3" spans="2:19" x14ac:dyDescent="0.2">
      <c r="C3" s="256" t="str">
        <f>"for period 01/01/"&amp;F8&amp;" - 12/31/"&amp;F8</f>
        <v>for period 01/01/2021 - 12/31/2021</v>
      </c>
      <c r="D3" s="256"/>
      <c r="E3" s="256"/>
      <c r="F3" s="256"/>
      <c r="G3" s="256"/>
      <c r="H3" s="256"/>
      <c r="I3" s="256"/>
    </row>
    <row r="4" spans="2:19" x14ac:dyDescent="0.2">
      <c r="C4" s="256" t="s">
        <v>85</v>
      </c>
      <c r="D4" s="256"/>
      <c r="E4" s="256"/>
      <c r="F4" s="256"/>
      <c r="G4" s="256"/>
      <c r="H4" s="256"/>
      <c r="I4" s="256"/>
    </row>
    <row r="5" spans="2:19" x14ac:dyDescent="0.2">
      <c r="C5" s="7" t="str">
        <f>"Prepared:  May 24_, "&amp;L1&amp;""</f>
        <v>Prepared:  May 24_, 2022</v>
      </c>
      <c r="D5" s="8"/>
    </row>
    <row r="6" spans="2:19" x14ac:dyDescent="0.2">
      <c r="C6" s="9"/>
    </row>
    <row r="7" spans="2:19" x14ac:dyDescent="0.2">
      <c r="C7" s="10"/>
    </row>
    <row r="8" spans="2:19" ht="27.75" customHeight="1" thickBot="1" x14ac:dyDescent="0.25">
      <c r="F8" s="11">
        <f>Transactions!R1</f>
        <v>2021</v>
      </c>
    </row>
    <row r="9" spans="2:19" ht="20.25" customHeight="1" x14ac:dyDescent="0.2">
      <c r="E9" s="12" t="s">
        <v>97</v>
      </c>
      <c r="F9" s="13"/>
      <c r="G9" s="14"/>
      <c r="H9" s="15"/>
      <c r="L9" s="2"/>
    </row>
    <row r="10" spans="2:19" ht="42" customHeight="1" thickBot="1" x14ac:dyDescent="0.25">
      <c r="B10" s="16"/>
      <c r="E10" s="17" t="str">
        <f>"(per "&amp;$F8&amp;" Projections "&amp;$F8&amp;")"</f>
        <v>(per 2021 Projections 2021)</v>
      </c>
      <c r="F10" s="18" t="str">
        <f>"(per "&amp;F8+1&amp;" Update of May "&amp;F8+1&amp;")"</f>
        <v>(per 2022 Update of May 2022)</v>
      </c>
      <c r="G10" s="19"/>
      <c r="H10" s="20"/>
    </row>
    <row r="11" spans="2:19" ht="21.75" customHeight="1" x14ac:dyDescent="0.2">
      <c r="B11" s="21"/>
      <c r="C11" s="22" t="s">
        <v>39</v>
      </c>
      <c r="D11" s="23" t="s">
        <v>37</v>
      </c>
      <c r="E11" s="24">
        <f>Transactions!K2</f>
        <v>115693004.54846533</v>
      </c>
      <c r="F11" s="25"/>
      <c r="G11" s="26"/>
      <c r="H11" s="27"/>
    </row>
    <row r="12" spans="2:19" ht="21.75" customHeight="1" x14ac:dyDescent="0.2">
      <c r="B12" s="21"/>
      <c r="C12" s="28"/>
      <c r="D12" s="29" t="s">
        <v>43</v>
      </c>
      <c r="E12" s="30"/>
      <c r="F12" s="31">
        <f>+Transactions!J2</f>
        <v>115618016.17023915</v>
      </c>
      <c r="G12" s="32"/>
      <c r="H12" s="33"/>
      <c r="K12" s="34"/>
    </row>
    <row r="13" spans="2:19" ht="21.75" customHeight="1" x14ac:dyDescent="0.2">
      <c r="B13" s="35"/>
      <c r="C13" s="36" t="s">
        <v>40</v>
      </c>
      <c r="D13" s="37" t="s">
        <v>38</v>
      </c>
      <c r="E13" s="38">
        <f>Transactions!K3</f>
        <v>1177.4939874727397</v>
      </c>
      <c r="F13" s="33"/>
      <c r="G13" s="39"/>
      <c r="H13" s="40"/>
      <c r="K13" s="41"/>
    </row>
    <row r="14" spans="2:19" ht="21.75" customHeight="1" thickBot="1" x14ac:dyDescent="0.25">
      <c r="B14" s="16"/>
      <c r="C14" s="42"/>
      <c r="D14" s="43" t="s">
        <v>42</v>
      </c>
      <c r="E14" s="44"/>
      <c r="F14" s="45">
        <f>+Transactions!J3</f>
        <v>1176.0435370430484</v>
      </c>
      <c r="G14" s="46"/>
      <c r="H14" s="33"/>
      <c r="K14" s="34"/>
    </row>
    <row r="15" spans="2:19" x14ac:dyDescent="0.2">
      <c r="B15" s="21"/>
      <c r="E15" s="47"/>
      <c r="K15" s="41"/>
    </row>
    <row r="16" spans="2:19" x14ac:dyDescent="0.2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x14ac:dyDescent="0.2">
      <c r="C17" s="10"/>
      <c r="K17" s="41"/>
      <c r="N17" s="54"/>
      <c r="O17" s="53"/>
      <c r="P17" s="53"/>
      <c r="Q17" s="53"/>
      <c r="R17" s="53"/>
      <c r="S17" s="53"/>
    </row>
    <row r="18" spans="2:19" x14ac:dyDescent="0.2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25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96</v>
      </c>
      <c r="I19" s="56" t="s">
        <v>95</v>
      </c>
      <c r="J19" s="57" t="s">
        <v>98</v>
      </c>
      <c r="K19" s="58" t="s">
        <v>99</v>
      </c>
      <c r="N19" s="52"/>
      <c r="O19" s="53"/>
      <c r="P19" s="53"/>
      <c r="Q19" s="53"/>
      <c r="R19" s="53"/>
      <c r="S19" s="53"/>
    </row>
    <row r="20" spans="2:19" ht="53.25" customHeight="1" x14ac:dyDescent="0.2">
      <c r="C20" s="59" t="s">
        <v>52</v>
      </c>
      <c r="D20" s="60" t="str">
        <f>"Actual Charge
("&amp;F8&amp;" True-Up)"</f>
        <v>Actual Charge
(2021 True-Up)</v>
      </c>
      <c r="E20" s="61" t="str">
        <f>"Invoiced for
CY"&amp;F8&amp;" Transmission Service"</f>
        <v>Invoiced for
CY2021 Transmission Service</v>
      </c>
      <c r="F20" s="60" t="s">
        <v>41</v>
      </c>
      <c r="G20" s="62" t="s">
        <v>7</v>
      </c>
      <c r="H20" s="62" t="s">
        <v>90</v>
      </c>
      <c r="I20" s="63" t="s">
        <v>46</v>
      </c>
      <c r="J20" s="64" t="s">
        <v>100</v>
      </c>
      <c r="K20" s="65" t="s">
        <v>102</v>
      </c>
      <c r="N20" s="52"/>
      <c r="O20" s="53"/>
      <c r="P20" s="53"/>
      <c r="Q20" s="53"/>
      <c r="R20" s="53"/>
      <c r="S20" s="53"/>
    </row>
    <row r="21" spans="2:19" x14ac:dyDescent="0.2">
      <c r="B21" s="66"/>
      <c r="C21" s="67" t="s">
        <v>14</v>
      </c>
      <c r="D21" s="68">
        <f>GETPIVOTDATA("Sum of "&amp;T(Transactions!$J$19),Pivot!$A$3,"Customer",C21)</f>
        <v>10663186.75036932</v>
      </c>
      <c r="E21" s="68">
        <f>GETPIVOTDATA("Sum of "&amp;T(Transactions!$K$19),Pivot!$A$3,"Customer",C21)</f>
        <v>10676337.98441533</v>
      </c>
      <c r="F21" s="68">
        <f>D21-E21</f>
        <v>-13151.234046010301</v>
      </c>
      <c r="G21" s="53">
        <f>+GETPIVOTDATA("Sum of "&amp;T(Transactions!$M$19),Pivot!$A$3,"Customer","AECC")</f>
        <v>-409.40782678921107</v>
      </c>
      <c r="H21" s="53">
        <f>GETPIVOTDATA("Sum of "&amp;T(Transactions!$Q$19),Pivot!$A$3,"Customer","AECC")</f>
        <v>0</v>
      </c>
      <c r="I21" s="69">
        <f>F21+G21-H21</f>
        <v>-13560.641872799511</v>
      </c>
      <c r="J21" s="70"/>
      <c r="K21" s="71">
        <f>I21+J21</f>
        <v>-13560.641872799511</v>
      </c>
      <c r="L21" s="66"/>
      <c r="N21" s="52"/>
      <c r="O21" s="53"/>
      <c r="P21" s="53"/>
      <c r="Q21" s="53"/>
      <c r="R21" s="53"/>
      <c r="S21" s="53"/>
    </row>
    <row r="22" spans="2:19" x14ac:dyDescent="0.2">
      <c r="B22" s="66"/>
      <c r="C22" s="72" t="s">
        <v>87</v>
      </c>
      <c r="D22" s="68">
        <f>GETPIVOTDATA("Sum of "&amp;T(Transactions!$J$19),Pivot!$A$3,"Customer",C22)</f>
        <v>558620.68009544793</v>
      </c>
      <c r="E22" s="68">
        <f>GETPIVOTDATA("Sum of "&amp;T(Transactions!$K$19),Pivot!$A$3,"Customer",C22)</f>
        <v>559309.64404955134</v>
      </c>
      <c r="F22" s="68">
        <f>D22-E22</f>
        <v>-688.96395410341211</v>
      </c>
      <c r="G22" s="53">
        <f>+GETPIVOTDATA("Sum of "&amp;T(Transactions!$M$19),Pivot!$A$3,"Customer","AECI")</f>
        <v>-21.447967103217742</v>
      </c>
      <c r="H22" s="53">
        <f>GETPIVOTDATA("Sum of "&amp;T(Transactions!$Q$19),Pivot!$A$3,"Customer",C22)</f>
        <v>0</v>
      </c>
      <c r="I22" s="69">
        <f t="shared" ref="I22:I33" si="0">F22+G22-H22</f>
        <v>-710.41192120662981</v>
      </c>
      <c r="J22" s="70"/>
      <c r="K22" s="71">
        <f t="shared" ref="K22:K39" si="1">I22+J22</f>
        <v>-710.41192120662981</v>
      </c>
      <c r="L22" s="66"/>
      <c r="N22" s="52"/>
      <c r="O22" s="53"/>
      <c r="P22" s="53"/>
      <c r="Q22" s="53"/>
      <c r="R22" s="53"/>
      <c r="S22" s="53"/>
    </row>
    <row r="23" spans="2:19" x14ac:dyDescent="0.2">
      <c r="B23" s="66"/>
      <c r="C23" s="72" t="s">
        <v>56</v>
      </c>
      <c r="D23" s="68">
        <f>GETPIVOTDATA("Sum of "&amp;T(Transactions!$J$19),Pivot!$A$3,"Customer",C23)</f>
        <v>1679390.1708974729</v>
      </c>
      <c r="E23" s="68">
        <f>GETPIVOTDATA("Sum of "&amp;T(Transactions!$K$19),Pivot!$A$3,"Customer",C23)</f>
        <v>1681461.4141110724</v>
      </c>
      <c r="F23" s="68">
        <f t="shared" ref="F23:F35" si="2">D23-E23</f>
        <v>-2071.2432135995477</v>
      </c>
      <c r="G23" s="53">
        <f>+GETPIVOTDATA("Sum of "&amp;T(Transactions!$M$19),Pivot!$A$3,"Customer","Bentonville, AR")</f>
        <v>-64.479362154515641</v>
      </c>
      <c r="H23" s="53">
        <f>GETPIVOTDATA("Sum of "&amp;T(Transactions!$Q$19),Pivot!$A$3,"Customer",C23)</f>
        <v>0</v>
      </c>
      <c r="I23" s="69">
        <f t="shared" si="0"/>
        <v>-2135.7225757540632</v>
      </c>
      <c r="J23" s="70"/>
      <c r="K23" s="71">
        <f t="shared" si="1"/>
        <v>-2135.7225757540632</v>
      </c>
      <c r="L23" s="66"/>
      <c r="N23" s="52"/>
      <c r="O23" s="53"/>
      <c r="P23" s="53"/>
      <c r="Q23" s="53"/>
      <c r="R23" s="53"/>
      <c r="S23" s="53"/>
    </row>
    <row r="24" spans="2:19" x14ac:dyDescent="0.2">
      <c r="B24" s="66"/>
      <c r="C24" s="67" t="s">
        <v>17</v>
      </c>
      <c r="D24" s="68">
        <f>GETPIVOTDATA("Sum of "&amp;T(Transactions!$J$19),Pivot!$A$3,"Customer",C24)</f>
        <v>1482990.9002112839</v>
      </c>
      <c r="E24" s="68">
        <f>GETPIVOTDATA("Sum of "&amp;T(Transactions!$K$19),Pivot!$A$3,"Customer",C24)</f>
        <v>1484819.9182031248</v>
      </c>
      <c r="F24" s="68">
        <f t="shared" si="2"/>
        <v>-1829.0179918408394</v>
      </c>
      <c r="G24" s="53">
        <f>+GETPIVOTDATA("Sum of "&amp;T(Transactions!$M$19),Pivot!$A$3,"Customer","Coffeyville, KS")</f>
        <v>-56.938708457173838</v>
      </c>
      <c r="H24" s="53">
        <f>GETPIVOTDATA("Sum of "&amp;T(Transactions!$Q$19),Pivot!$A$3,"Customer",C24)</f>
        <v>0</v>
      </c>
      <c r="I24" s="69">
        <f t="shared" si="0"/>
        <v>-1885.9567002980132</v>
      </c>
      <c r="J24" s="70"/>
      <c r="K24" s="71">
        <f t="shared" si="1"/>
        <v>-1885.9567002980132</v>
      </c>
      <c r="L24" s="66"/>
      <c r="N24" s="52"/>
      <c r="O24" s="53"/>
      <c r="P24" s="53"/>
      <c r="Q24" s="53"/>
      <c r="R24" s="53"/>
      <c r="S24" s="53"/>
    </row>
    <row r="25" spans="2:19" x14ac:dyDescent="0.2">
      <c r="B25" s="66"/>
      <c r="C25" s="72" t="s">
        <v>13</v>
      </c>
      <c r="D25" s="68">
        <f>GETPIVOTDATA("Sum of "&amp;T(Transactions!$J$19),Pivot!$A$3,"Customer",C25)</f>
        <v>11783956.241171345</v>
      </c>
      <c r="E25" s="68">
        <f>GETPIVOTDATA("Sum of "&amp;T(Transactions!$K$19),Pivot!$A$3,"Customer",C25)</f>
        <v>11798489.754476853</v>
      </c>
      <c r="F25" s="68">
        <f t="shared" si="2"/>
        <v>-14533.5133055076</v>
      </c>
      <c r="G25" s="53">
        <f>+GETPIVOTDATA("Sum of "&amp;T(Transactions!$M$19),Pivot!$A$3,"Customer","ETEC")</f>
        <v>-452.43922184050899</v>
      </c>
      <c r="H25" s="53">
        <f>GETPIVOTDATA("Sum of "&amp;T(Transactions!$Q$19),Pivot!$A$3,"Customer",C25)</f>
        <v>0</v>
      </c>
      <c r="I25" s="69">
        <f t="shared" si="0"/>
        <v>-14985.952527348109</v>
      </c>
      <c r="J25" s="70"/>
      <c r="K25" s="71">
        <f t="shared" si="1"/>
        <v>-14985.952527348109</v>
      </c>
      <c r="L25" s="66"/>
      <c r="N25" s="54"/>
      <c r="O25" s="53"/>
      <c r="P25" s="53"/>
      <c r="Q25" s="53"/>
      <c r="R25" s="53"/>
      <c r="S25" s="53"/>
    </row>
    <row r="26" spans="2:19" x14ac:dyDescent="0.2">
      <c r="B26" s="66"/>
      <c r="C26" s="67" t="s">
        <v>15</v>
      </c>
      <c r="D26" s="68">
        <f>GETPIVOTDATA("Sum of "&amp;T(Transactions!$J$19),Pivot!$A$3,"Customer",C26)</f>
        <v>128188.7455376923</v>
      </c>
      <c r="E26" s="68">
        <f>GETPIVOTDATA("Sum of "&amp;T(Transactions!$K$19),Pivot!$A$3,"Customer",C26)</f>
        <v>128346.84463452862</v>
      </c>
      <c r="F26" s="68">
        <f t="shared" si="2"/>
        <v>-158.09909683631849</v>
      </c>
      <c r="G26" s="53">
        <f>+GETPIVOTDATA("Sum of "&amp;T(Transactions!$M$19),Pivot!$A$3,"Customer","Greenbelt")</f>
        <v>-4.9217440300015438</v>
      </c>
      <c r="H26" s="53">
        <f>GETPIVOTDATA("Sum of "&amp;T(Transactions!$Q$19),Pivot!$A$3,"Customer",C26)</f>
        <v>0</v>
      </c>
      <c r="I26" s="69">
        <f t="shared" si="0"/>
        <v>-163.02084086632004</v>
      </c>
      <c r="J26" s="70"/>
      <c r="K26" s="71">
        <f t="shared" si="1"/>
        <v>-163.02084086632004</v>
      </c>
      <c r="L26" s="66"/>
      <c r="M26" s="73"/>
      <c r="N26" s="73"/>
      <c r="O26" s="73"/>
      <c r="P26" s="73"/>
      <c r="Q26" s="53"/>
      <c r="R26" s="53"/>
      <c r="S26" s="53"/>
    </row>
    <row r="27" spans="2:19" x14ac:dyDescent="0.2">
      <c r="B27" s="66"/>
      <c r="C27" s="67" t="s">
        <v>59</v>
      </c>
      <c r="D27" s="68">
        <f>GETPIVOTDATA("Sum of "&amp;T(Transactions!$J$19),Pivot!$A$3,"Customer",C27)</f>
        <v>556268.59302136186</v>
      </c>
      <c r="E27" s="68">
        <f>GETPIVOTDATA("Sum of "&amp;T(Transactions!$K$19),Pivot!$A$3,"Customer",C27)</f>
        <v>556954.65607460588</v>
      </c>
      <c r="F27" s="68">
        <f t="shared" si="2"/>
        <v>-686.06305324402638</v>
      </c>
      <c r="G27" s="53">
        <f>+GETPIVOTDATA("Sum of "&amp;T(Transactions!$M$19),Pivot!$A$3,"Customer","Hope, AR")</f>
        <v>-21.357659873309455</v>
      </c>
      <c r="H27" s="53">
        <f>GETPIVOTDATA("Sum of "&amp;T(Transactions!$Q$19),Pivot!$A$3,"Customer",C27)</f>
        <v>0</v>
      </c>
      <c r="I27" s="69">
        <f t="shared" si="0"/>
        <v>-707.42071311733582</v>
      </c>
      <c r="J27" s="70"/>
      <c r="K27" s="71">
        <f t="shared" si="1"/>
        <v>-707.42071311733582</v>
      </c>
      <c r="L27" s="66"/>
      <c r="M27" s="73"/>
      <c r="N27" s="73"/>
      <c r="O27" s="73"/>
      <c r="P27" s="73"/>
      <c r="Q27" s="53"/>
      <c r="R27" s="53"/>
      <c r="S27" s="53"/>
    </row>
    <row r="28" spans="2:19" x14ac:dyDescent="0.2">
      <c r="B28" s="66"/>
      <c r="C28" s="67" t="s">
        <v>16</v>
      </c>
      <c r="D28" s="68">
        <f>GETPIVOTDATA("Sum of "&amp;T(Transactions!$J$19),Pivot!$A$3,"Customer",C28)</f>
        <v>54098.002703980215</v>
      </c>
      <c r="E28" s="68">
        <f>GETPIVOTDATA("Sum of "&amp;T(Transactions!$K$19),Pivot!$A$3,"Customer",C28)</f>
        <v>54164.723423746022</v>
      </c>
      <c r="F28" s="68">
        <f t="shared" si="2"/>
        <v>-66.72071976580628</v>
      </c>
      <c r="G28" s="53">
        <f>+GETPIVOTDATA("Sum of "&amp;T(Transactions!$M$19),Pivot!$A$3,"Customer","Lighthouse")</f>
        <v>-2.0770662878905601</v>
      </c>
      <c r="H28" s="53">
        <f>GETPIVOTDATA("Sum of "&amp;T(Transactions!$Q$19),Pivot!$A$3,"Customer",C28)</f>
        <v>0</v>
      </c>
      <c r="I28" s="69">
        <f t="shared" si="0"/>
        <v>-68.797786053696839</v>
      </c>
      <c r="J28" s="70"/>
      <c r="K28" s="71">
        <f t="shared" si="1"/>
        <v>-68.797786053696839</v>
      </c>
      <c r="L28" s="66"/>
      <c r="N28" s="52"/>
      <c r="O28" s="53"/>
      <c r="P28" s="53"/>
      <c r="Q28" s="53"/>
      <c r="R28" s="53"/>
      <c r="S28" s="53"/>
    </row>
    <row r="29" spans="2:19" x14ac:dyDescent="0.2">
      <c r="B29" s="66"/>
      <c r="C29" s="72" t="s">
        <v>58</v>
      </c>
      <c r="D29" s="68">
        <f>GETPIVOTDATA("Sum of "&amp;T(Transactions!$J$19),Pivot!$A$3,"Customer",C29)</f>
        <v>361045.36587221583</v>
      </c>
      <c r="E29" s="68">
        <f>GETPIVOTDATA("Sum of "&amp;T(Transactions!$K$19),Pivot!$A$3,"Customer",C29)</f>
        <v>361490.65415413113</v>
      </c>
      <c r="F29" s="68">
        <f t="shared" si="2"/>
        <v>-445.28828191530192</v>
      </c>
      <c r="G29" s="53">
        <f>+GETPIVOTDATA("Sum of "&amp;T(Transactions!$M$19),Pivot!$A$3,"Customer","Minden, LA")</f>
        <v>-13.862159790921782</v>
      </c>
      <c r="H29" s="53">
        <f>GETPIVOTDATA("Sum of "&amp;T(Transactions!$Q$19),Pivot!$A$3,"Customer",C29)</f>
        <v>0</v>
      </c>
      <c r="I29" s="69">
        <f t="shared" si="0"/>
        <v>-459.15044170622372</v>
      </c>
      <c r="J29" s="70"/>
      <c r="K29" s="71">
        <f t="shared" si="1"/>
        <v>-459.15044170622372</v>
      </c>
      <c r="L29" s="66"/>
      <c r="N29" s="52"/>
      <c r="O29" s="53"/>
      <c r="P29" s="53"/>
      <c r="Q29" s="53"/>
      <c r="R29" s="53"/>
      <c r="S29" s="53"/>
    </row>
    <row r="30" spans="2:19" x14ac:dyDescent="0.2">
      <c r="B30" s="66"/>
      <c r="C30" s="72" t="s">
        <v>19</v>
      </c>
      <c r="D30" s="68">
        <f>GETPIVOTDATA("Sum of "&amp;T(Transactions!$J$19),Pivot!$A$3,"Customer",C30)</f>
        <v>623303.07463281567</v>
      </c>
      <c r="E30" s="68">
        <f>GETPIVOTDATA("Sum of "&amp;T(Transactions!$K$19),Pivot!$A$3,"Customer",C30)</f>
        <v>624071.81336055195</v>
      </c>
      <c r="F30" s="68">
        <f t="shared" si="2"/>
        <v>-768.73872773628682</v>
      </c>
      <c r="G30" s="53">
        <f>+GETPIVOTDATA("Sum of "&amp;T(Transactions!$M$19),Pivot!$A$3,"Customer","OG&amp;E")</f>
        <v>-23.931415925695585</v>
      </c>
      <c r="H30" s="53">
        <f>GETPIVOTDATA("Sum of "&amp;T(Transactions!$Q$19),Pivot!$A$3,"Customer",C30)</f>
        <v>0</v>
      </c>
      <c r="I30" s="69">
        <f t="shared" si="0"/>
        <v>-792.67014366198237</v>
      </c>
      <c r="J30" s="70"/>
      <c r="K30" s="71">
        <f t="shared" si="1"/>
        <v>-792.67014366198237</v>
      </c>
      <c r="L30" s="66"/>
    </row>
    <row r="31" spans="2:19" x14ac:dyDescent="0.2">
      <c r="B31" s="66"/>
      <c r="C31" s="67" t="s">
        <v>8</v>
      </c>
      <c r="D31" s="68">
        <f>GETPIVOTDATA("Sum of "&amp;T(Transactions!$J$19),Pivot!$A$3,"Customer",C31)</f>
        <v>1465350.2471556384</v>
      </c>
      <c r="E31" s="68">
        <f>GETPIVOTDATA("Sum of "&amp;T(Transactions!$K$19),Pivot!$A$3,"Customer",C31)</f>
        <v>1467157.5083910336</v>
      </c>
      <c r="F31" s="68">
        <f t="shared" si="2"/>
        <v>-1807.2612353952136</v>
      </c>
      <c r="G31" s="53">
        <f>+GETPIVOTDATA("Sum of "&amp;T(Transactions!$M$19),Pivot!$A$3,"Customer","OMPA")</f>
        <v>-56.261404232861693</v>
      </c>
      <c r="H31" s="53">
        <f>GETPIVOTDATA("Sum of "&amp;T(Transactions!$Q$19),Pivot!$A$3,"Customer",C31)</f>
        <v>0</v>
      </c>
      <c r="I31" s="69">
        <f t="shared" si="0"/>
        <v>-1863.5226396280752</v>
      </c>
      <c r="J31" s="70"/>
      <c r="K31" s="71">
        <f t="shared" si="1"/>
        <v>-1863.5226396280752</v>
      </c>
      <c r="L31" s="66"/>
    </row>
    <row r="32" spans="2:19" x14ac:dyDescent="0.2">
      <c r="B32" s="66"/>
      <c r="C32" s="67" t="s">
        <v>57</v>
      </c>
      <c r="D32" s="68">
        <f>GETPIVOTDATA("Sum of "&amp;T(Transactions!$J$19),Pivot!$A$3,"Customer",C32)</f>
        <v>149357.52920446714</v>
      </c>
      <c r="E32" s="68">
        <f>GETPIVOTDATA("Sum of "&amp;T(Transactions!$K$19),Pivot!$A$3,"Customer",C32)</f>
        <v>149541.7364090379</v>
      </c>
      <c r="F32" s="68">
        <f t="shared" si="2"/>
        <v>-184.20720457076095</v>
      </c>
      <c r="G32" s="53">
        <f>+GETPIVOTDATA("Sum of "&amp;T(Transactions!$M$19),Pivot!$A$3,"Customer","Prescott, AR")</f>
        <v>-5.7345090991761118</v>
      </c>
      <c r="H32" s="53">
        <f>GETPIVOTDATA("Sum of "&amp;T(Transactions!$Q$19),Pivot!$A$3,"Customer",C32)</f>
        <v>0</v>
      </c>
      <c r="I32" s="69">
        <f t="shared" si="0"/>
        <v>-189.94171366993706</v>
      </c>
      <c r="J32" s="70"/>
      <c r="K32" s="71">
        <f t="shared" si="1"/>
        <v>-189.94171366993706</v>
      </c>
      <c r="L32" s="66"/>
    </row>
    <row r="33" spans="2:13" x14ac:dyDescent="0.2">
      <c r="B33" s="66"/>
      <c r="C33" s="74" t="s">
        <v>9</v>
      </c>
      <c r="D33" s="68">
        <f>GETPIVOTDATA("Sum of "&amp;T(Transactions!$J$19),Pivot!$A$3,"Customer",C33)</f>
        <v>580965.50729926606</v>
      </c>
      <c r="E33" s="68">
        <f>GETPIVOTDATA("Sum of "&amp;T(Transactions!$K$19),Pivot!$A$3,"Customer",C33)</f>
        <v>581682.0298115334</v>
      </c>
      <c r="F33" s="68">
        <f t="shared" si="2"/>
        <v>-716.5225122673437</v>
      </c>
      <c r="G33" s="53">
        <f>+GETPIVOTDATA("Sum of "&amp;T(Transactions!$M$19),Pivot!$A$3,"Customer","WFEC")</f>
        <v>-22.305885787346451</v>
      </c>
      <c r="H33" s="53">
        <f>GETPIVOTDATA("Sum of "&amp;T(Transactions!$Q$19),Pivot!$A$3,"Customer",C33)</f>
        <v>0</v>
      </c>
      <c r="I33" s="69">
        <f t="shared" si="0"/>
        <v>-738.82839805469018</v>
      </c>
      <c r="J33" s="70"/>
      <c r="K33" s="71">
        <f t="shared" si="1"/>
        <v>-738.82839805469018</v>
      </c>
      <c r="L33" s="66"/>
    </row>
    <row r="34" spans="2:13" ht="24" x14ac:dyDescent="0.2">
      <c r="C34" s="75" t="s">
        <v>44</v>
      </c>
      <c r="D34" s="76">
        <f t="shared" ref="D34:J34" si="3">SUM(D21:D33)</f>
        <v>30086721.808172308</v>
      </c>
      <c r="E34" s="76">
        <f t="shared" si="3"/>
        <v>30123828.681515101</v>
      </c>
      <c r="F34" s="76">
        <f t="shared" si="3"/>
        <v>-37106.873342792758</v>
      </c>
      <c r="G34" s="77">
        <f t="shared" si="3"/>
        <v>-1155.1649313718306</v>
      </c>
      <c r="H34" s="77">
        <f t="shared" si="3"/>
        <v>0</v>
      </c>
      <c r="I34" s="78">
        <f t="shared" si="3"/>
        <v>-38262.038274164588</v>
      </c>
      <c r="J34" s="79">
        <f t="shared" si="3"/>
        <v>0</v>
      </c>
      <c r="K34" s="80">
        <f t="shared" si="1"/>
        <v>-38262.038274164588</v>
      </c>
    </row>
    <row r="35" spans="2:13" x14ac:dyDescent="0.2">
      <c r="C35" s="81" t="s">
        <v>21</v>
      </c>
      <c r="D35" s="68">
        <f>GETPIVOTDATA("Sum of "&amp;T(Transactions!$J$19),Pivot!$A$3,"Customer",C35)</f>
        <v>42787992.008237228</v>
      </c>
      <c r="E35" s="68">
        <f>GETPIVOTDATA("Sum of "&amp;T(Transactions!$K$19),Pivot!$A$3,"Customer",C35)</f>
        <v>42840763.746220693</v>
      </c>
      <c r="F35" s="68">
        <f t="shared" si="2"/>
        <v>-52771.737983465195</v>
      </c>
      <c r="G35" s="53">
        <f>+GETPIVOTDATA("Sum of "&amp;T(Transactions!$M$19),Pivot!$A$3,"Customer","PSO")</f>
        <v>-1642.8239728765707</v>
      </c>
      <c r="H35" s="53">
        <f>GETPIVOTDATA("Sum of "&amp;T(Transactions!$Q$19),Pivot!$A$3,"Customer",C35)</f>
        <v>0</v>
      </c>
      <c r="I35" s="69">
        <f>F35+G35-H35</f>
        <v>-54414.561956341764</v>
      </c>
      <c r="J35" s="70"/>
      <c r="K35" s="71">
        <f t="shared" si="1"/>
        <v>-54414.561956341764</v>
      </c>
    </row>
    <row r="36" spans="2:13" x14ac:dyDescent="0.2">
      <c r="C36" s="82" t="s">
        <v>22</v>
      </c>
      <c r="D36" s="68">
        <f>GETPIVOTDATA("Sum of "&amp;T(Transactions!$J$19),Pivot!$A$3,"Customer",C36)</f>
        <v>40929843.21970921</v>
      </c>
      <c r="E36" s="68">
        <f>GETPIVOTDATA("Sum of "&amp;T(Transactions!$K$19),Pivot!$A$3,"Customer",C36)</f>
        <v>40980323.246013761</v>
      </c>
      <c r="F36" s="68">
        <f>D36-E36</f>
        <v>-50480.026304550469</v>
      </c>
      <c r="G36" s="53">
        <f>+GETPIVOTDATA("Sum of "&amp;T(Transactions!$M$19),Pivot!$A$3,"Customer","SWEPCO")</f>
        <v>-1571.4812612490252</v>
      </c>
      <c r="H36" s="53">
        <f>GETPIVOTDATA("Sum of "&amp;T(Transactions!$Q$19),Pivot!$A$3,"Customer",C36)</f>
        <v>0</v>
      </c>
      <c r="I36" s="69">
        <f>F36+G36-H36</f>
        <v>-52051.507565799497</v>
      </c>
      <c r="J36" s="70"/>
      <c r="K36" s="71">
        <f t="shared" si="1"/>
        <v>-52051.507565799497</v>
      </c>
    </row>
    <row r="37" spans="2:13" x14ac:dyDescent="0.2">
      <c r="C37" s="83" t="s">
        <v>83</v>
      </c>
      <c r="D37" s="68">
        <f>GETPIVOTDATA("Sum of "&amp;T(Transactions!$J$19),Pivot!$A$3,"Customer",C37)</f>
        <v>1813459.1341203805</v>
      </c>
      <c r="E37" s="68">
        <f>GETPIVOTDATA("Sum of "&amp;T(Transactions!$K$19),Pivot!$A$3,"Customer",C37)</f>
        <v>1815695.7286829643</v>
      </c>
      <c r="F37" s="68">
        <f>D37-E37</f>
        <v>-2236.5945625838358</v>
      </c>
      <c r="G37" s="53">
        <f>+GETPIVOTDATA("Sum of "&amp;T(Transactions!$M$19),Pivot!$A$3,"Customer","SWEPCO-Valley")</f>
        <v>-69.626874259287931</v>
      </c>
      <c r="H37" s="53">
        <f>GETPIVOTDATA("Sum of "&amp;T(Transactions!$Q$19),Pivot!$A$3,"Customer",C37)</f>
        <v>0</v>
      </c>
      <c r="I37" s="69">
        <f>F37+G37-H37</f>
        <v>-2306.2214368431237</v>
      </c>
      <c r="J37" s="70"/>
      <c r="K37" s="71">
        <f t="shared" si="1"/>
        <v>-2306.2214368431237</v>
      </c>
    </row>
    <row r="38" spans="2:13" ht="24" x14ac:dyDescent="0.2">
      <c r="C38" s="84" t="s">
        <v>53</v>
      </c>
      <c r="D38" s="85">
        <f t="shared" ref="D38:I38" si="4">SUM(D35:D37)</f>
        <v>85531294.362066805</v>
      </c>
      <c r="E38" s="85">
        <f t="shared" si="4"/>
        <v>85636782.720917419</v>
      </c>
      <c r="F38" s="85">
        <f t="shared" si="4"/>
        <v>-105488.3588505995</v>
      </c>
      <c r="G38" s="86">
        <f t="shared" si="4"/>
        <v>-3283.932108384884</v>
      </c>
      <c r="H38" s="86">
        <f t="shared" si="4"/>
        <v>0</v>
      </c>
      <c r="I38" s="87">
        <f t="shared" si="4"/>
        <v>-108772.29095898439</v>
      </c>
      <c r="J38" s="88">
        <f>SUM(J35:J37)</f>
        <v>0</v>
      </c>
      <c r="K38" s="89">
        <f t="shared" si="1"/>
        <v>-108772.29095898439</v>
      </c>
    </row>
    <row r="39" spans="2:13" ht="23.25" customHeight="1" thickBot="1" x14ac:dyDescent="0.25">
      <c r="C39" s="90" t="s">
        <v>45</v>
      </c>
      <c r="D39" s="91">
        <f t="shared" ref="D39:I39" si="5">SUM(D34,D38)</f>
        <v>115618016.17023912</v>
      </c>
      <c r="E39" s="92">
        <f t="shared" si="5"/>
        <v>115760611.40243252</v>
      </c>
      <c r="F39" s="91">
        <f t="shared" si="5"/>
        <v>-142595.23219339226</v>
      </c>
      <c r="G39" s="92">
        <f t="shared" si="5"/>
        <v>-4439.0970397567144</v>
      </c>
      <c r="H39" s="92">
        <f t="shared" si="5"/>
        <v>0</v>
      </c>
      <c r="I39" s="93">
        <f t="shared" si="5"/>
        <v>-147034.32923314898</v>
      </c>
      <c r="J39" s="94">
        <f>SUM(J34,J38)</f>
        <v>0</v>
      </c>
      <c r="K39" s="95">
        <f t="shared" si="1"/>
        <v>-147034.32923314898</v>
      </c>
      <c r="M39" s="96"/>
    </row>
    <row r="40" spans="2:13" x14ac:dyDescent="0.2">
      <c r="E40" s="52"/>
      <c r="F40" s="52"/>
      <c r="G40" s="52"/>
      <c r="H40" s="52"/>
    </row>
    <row r="41" spans="2:13" x14ac:dyDescent="0.2">
      <c r="D41" s="245"/>
    </row>
    <row r="42" spans="2:13" x14ac:dyDescent="0.2">
      <c r="D42" s="246"/>
      <c r="K42" s="244"/>
    </row>
    <row r="45" spans="2:13" x14ac:dyDescent="0.2">
      <c r="D45" s="247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6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26"/>
  <sheetViews>
    <sheetView zoomScale="85" workbookViewId="0">
      <pane xSplit="2" ySplit="4" topLeftCell="I100" activePane="bottomRight" state="frozen"/>
      <selection pane="topRight" activeCell="C1" sqref="C1"/>
      <selection pane="bottomLeft" activeCell="A5" sqref="A5"/>
      <selection pane="bottomRight" activeCell="K115" sqref="K115"/>
    </sheetView>
  </sheetViews>
  <sheetFormatPr defaultColWidth="8.7109375" defaultRowHeight="12.75" x14ac:dyDescent="0.2"/>
  <cols>
    <col min="1" max="1" width="19.140625" style="1" customWidth="1"/>
    <col min="2" max="2" width="28.5703125" style="1" bestFit="1" customWidth="1"/>
    <col min="3" max="14" width="15.42578125" style="1" bestFit="1" customWidth="1"/>
    <col min="15" max="15" width="12.5703125" style="1" bestFit="1" customWidth="1"/>
    <col min="16" max="16384" width="8.7109375" style="1"/>
  </cols>
  <sheetData>
    <row r="3" spans="1:15" x14ac:dyDescent="0.2">
      <c r="A3" s="98"/>
      <c r="B3" s="99"/>
      <c r="C3" s="100" t="s">
        <v>55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1"/>
    </row>
    <row r="4" spans="1:15" x14ac:dyDescent="0.2">
      <c r="A4" s="100" t="s">
        <v>0</v>
      </c>
      <c r="B4" s="100" t="s">
        <v>24</v>
      </c>
      <c r="C4" s="102">
        <v>44197</v>
      </c>
      <c r="D4" s="103">
        <v>44228</v>
      </c>
      <c r="E4" s="103">
        <v>44256</v>
      </c>
      <c r="F4" s="103">
        <v>44287</v>
      </c>
      <c r="G4" s="103">
        <v>44317</v>
      </c>
      <c r="H4" s="103">
        <v>44348</v>
      </c>
      <c r="I4" s="103">
        <v>44378</v>
      </c>
      <c r="J4" s="103">
        <v>44409</v>
      </c>
      <c r="K4" s="103">
        <v>44440</v>
      </c>
      <c r="L4" s="103">
        <v>44470</v>
      </c>
      <c r="M4" s="103">
        <v>44501</v>
      </c>
      <c r="N4" s="103">
        <v>44531</v>
      </c>
      <c r="O4" s="104" t="s">
        <v>18</v>
      </c>
    </row>
    <row r="5" spans="1:15" x14ac:dyDescent="0.2">
      <c r="A5" s="98" t="s">
        <v>14</v>
      </c>
      <c r="B5" s="98" t="s">
        <v>72</v>
      </c>
      <c r="C5" s="105">
        <v>902025.39291201811</v>
      </c>
      <c r="D5" s="106">
        <v>1248958.2363397174</v>
      </c>
      <c r="E5" s="106">
        <v>704450.07868878602</v>
      </c>
      <c r="F5" s="106">
        <v>525691.46105824271</v>
      </c>
      <c r="G5" s="106">
        <v>709154.25283695816</v>
      </c>
      <c r="H5" s="106">
        <v>987876.57111616072</v>
      </c>
      <c r="I5" s="106">
        <v>1089016.3153018628</v>
      </c>
      <c r="J5" s="106">
        <v>1109009.0554315946</v>
      </c>
      <c r="K5" s="106">
        <v>1073727.7493203033</v>
      </c>
      <c r="L5" s="106">
        <v>800885.64872631594</v>
      </c>
      <c r="M5" s="106">
        <v>766780.38615206757</v>
      </c>
      <c r="N5" s="106">
        <v>745611.60248529271</v>
      </c>
      <c r="O5" s="107">
        <v>10663186.75036932</v>
      </c>
    </row>
    <row r="6" spans="1:15" x14ac:dyDescent="0.2">
      <c r="A6" s="234"/>
      <c r="B6" s="108" t="s">
        <v>25</v>
      </c>
      <c r="C6" s="237">
        <v>-1112.4954795732629</v>
      </c>
      <c r="D6" s="238">
        <v>-1540.3783563321922</v>
      </c>
      <c r="E6" s="238">
        <v>-868.81980738509446</v>
      </c>
      <c r="F6" s="238">
        <v>-648.35134207189549</v>
      </c>
      <c r="G6" s="238">
        <v>-874.62160910386592</v>
      </c>
      <c r="H6" s="238">
        <v>-1218.3783609406091</v>
      </c>
      <c r="I6" s="238">
        <v>-1343.1170978941955</v>
      </c>
      <c r="J6" s="238">
        <v>-1367.7747551989742</v>
      </c>
      <c r="K6" s="238">
        <v>-1324.2612423079554</v>
      </c>
      <c r="L6" s="238">
        <v>-987.75674261979293</v>
      </c>
      <c r="M6" s="238">
        <v>-945.69368015869986</v>
      </c>
      <c r="N6" s="238">
        <v>-919.5855724242283</v>
      </c>
      <c r="O6" s="239">
        <v>-13151.234046010766</v>
      </c>
    </row>
    <row r="7" spans="1:15" x14ac:dyDescent="0.2">
      <c r="A7" s="234"/>
      <c r="B7" s="108" t="s">
        <v>26</v>
      </c>
      <c r="C7" s="237">
        <v>-34.632822669827384</v>
      </c>
      <c r="D7" s="238">
        <v>-47.953139081299454</v>
      </c>
      <c r="E7" s="238">
        <v>-27.047015357531425</v>
      </c>
      <c r="F7" s="238">
        <v>-20.183665884501746</v>
      </c>
      <c r="G7" s="238">
        <v>-27.227629817347992</v>
      </c>
      <c r="H7" s="238">
        <v>-37.929036561479798</v>
      </c>
      <c r="I7" s="238">
        <v>-41.812247447536052</v>
      </c>
      <c r="J7" s="238">
        <v>-42.579858901756488</v>
      </c>
      <c r="K7" s="238">
        <v>-41.225250453132205</v>
      </c>
      <c r="L7" s="238">
        <v>-30.749611783771119</v>
      </c>
      <c r="M7" s="238">
        <v>-29.440156950100981</v>
      </c>
      <c r="N7" s="238">
        <v>-28.627391880926417</v>
      </c>
      <c r="O7" s="239">
        <v>-409.40782678921107</v>
      </c>
    </row>
    <row r="8" spans="1:15" x14ac:dyDescent="0.2">
      <c r="A8" s="234"/>
      <c r="B8" s="108" t="s">
        <v>27</v>
      </c>
      <c r="C8" s="237">
        <v>-1147.1283022430903</v>
      </c>
      <c r="D8" s="238">
        <v>-1588.3314954134917</v>
      </c>
      <c r="E8" s="238">
        <v>-895.86682274262591</v>
      </c>
      <c r="F8" s="238">
        <v>-668.53500795639718</v>
      </c>
      <c r="G8" s="238">
        <v>-901.8492389212139</v>
      </c>
      <c r="H8" s="238">
        <v>-1256.3073975020889</v>
      </c>
      <c r="I8" s="238">
        <v>-1384.9293453417315</v>
      </c>
      <c r="J8" s="238">
        <v>-1410.3546141007307</v>
      </c>
      <c r="K8" s="238">
        <v>-1365.4864927610877</v>
      </c>
      <c r="L8" s="238">
        <v>-1018.506354403564</v>
      </c>
      <c r="M8" s="238">
        <v>-975.13383710880089</v>
      </c>
      <c r="N8" s="238">
        <v>-948.21296430515474</v>
      </c>
      <c r="O8" s="239">
        <v>-13560.641872799975</v>
      </c>
    </row>
    <row r="9" spans="1:15" x14ac:dyDescent="0.2">
      <c r="A9" s="234"/>
      <c r="B9" s="108" t="s">
        <v>51</v>
      </c>
      <c r="C9" s="109">
        <v>903137.88839159138</v>
      </c>
      <c r="D9" s="97">
        <v>1250498.6146960496</v>
      </c>
      <c r="E9" s="97">
        <v>705318.89849617111</v>
      </c>
      <c r="F9" s="97">
        <v>526339.81240031461</v>
      </c>
      <c r="G9" s="97">
        <v>710028.87444606202</v>
      </c>
      <c r="H9" s="97">
        <v>989094.94947710133</v>
      </c>
      <c r="I9" s="97">
        <v>1090359.432399757</v>
      </c>
      <c r="J9" s="97">
        <v>1110376.8301867936</v>
      </c>
      <c r="K9" s="97">
        <v>1075052.0105626113</v>
      </c>
      <c r="L9" s="97">
        <v>801873.40546893573</v>
      </c>
      <c r="M9" s="97">
        <v>767726.07983222627</v>
      </c>
      <c r="N9" s="97">
        <v>746531.18805771694</v>
      </c>
      <c r="O9" s="110">
        <v>10676337.98441533</v>
      </c>
    </row>
    <row r="10" spans="1:15" x14ac:dyDescent="0.2">
      <c r="A10" s="234"/>
      <c r="B10" s="108" t="s">
        <v>91</v>
      </c>
      <c r="C10" s="109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110">
        <v>0</v>
      </c>
    </row>
    <row r="11" spans="1:15" x14ac:dyDescent="0.2">
      <c r="A11" s="234"/>
      <c r="B11" s="108" t="s">
        <v>93</v>
      </c>
      <c r="C11" s="109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110">
        <v>0</v>
      </c>
    </row>
    <row r="12" spans="1:15" x14ac:dyDescent="0.2">
      <c r="A12" s="98" t="s">
        <v>17</v>
      </c>
      <c r="B12" s="98" t="s">
        <v>72</v>
      </c>
      <c r="C12" s="105">
        <v>110548.09248204656</v>
      </c>
      <c r="D12" s="106">
        <v>117604.35370430484</v>
      </c>
      <c r="E12" s="106">
        <v>118780.39724134789</v>
      </c>
      <c r="F12" s="106">
        <v>115252.26663021874</v>
      </c>
      <c r="G12" s="106">
        <v>116428.31016726179</v>
      </c>
      <c r="H12" s="106">
        <v>132892.91968586447</v>
      </c>
      <c r="I12" s="106">
        <v>136421.05029699361</v>
      </c>
      <c r="J12" s="106">
        <v>136421.05029699361</v>
      </c>
      <c r="K12" s="106">
        <v>136421.05029699361</v>
      </c>
      <c r="L12" s="106">
        <v>123484.57138952009</v>
      </c>
      <c r="M12" s="106">
        <v>117604.35370430484</v>
      </c>
      <c r="N12" s="106">
        <v>121132.48431543399</v>
      </c>
      <c r="O12" s="107">
        <v>1482990.9002112839</v>
      </c>
    </row>
    <row r="13" spans="1:15" x14ac:dyDescent="0.2">
      <c r="A13" s="234"/>
      <c r="B13" s="108" t="s">
        <v>25</v>
      </c>
      <c r="C13" s="237">
        <v>-136.34234039096918</v>
      </c>
      <c r="D13" s="238">
        <v>-145.04504296912637</v>
      </c>
      <c r="E13" s="238">
        <v>-146.49549339881924</v>
      </c>
      <c r="F13" s="238">
        <v>-142.14414210975519</v>
      </c>
      <c r="G13" s="238">
        <v>-143.59459253943351</v>
      </c>
      <c r="H13" s="238">
        <v>-163.90089855511906</v>
      </c>
      <c r="I13" s="238">
        <v>-168.25224984419765</v>
      </c>
      <c r="J13" s="238">
        <v>-168.25224984419765</v>
      </c>
      <c r="K13" s="238">
        <v>-168.25224984419765</v>
      </c>
      <c r="L13" s="238">
        <v>-152.29729511757614</v>
      </c>
      <c r="M13" s="238">
        <v>-145.04504296912637</v>
      </c>
      <c r="N13" s="238">
        <v>-149.39639425820496</v>
      </c>
      <c r="O13" s="239">
        <v>-1829.017991840723</v>
      </c>
    </row>
    <row r="14" spans="1:15" x14ac:dyDescent="0.2">
      <c r="A14" s="234"/>
      <c r="B14" s="108" t="s">
        <v>26</v>
      </c>
      <c r="C14" s="237">
        <v>-4.2444398056894057</v>
      </c>
      <c r="D14" s="238">
        <v>-4.515361495414262</v>
      </c>
      <c r="E14" s="238">
        <v>-4.5605151103684038</v>
      </c>
      <c r="F14" s="238">
        <v>-4.4250542655059766</v>
      </c>
      <c r="G14" s="238">
        <v>-4.4702078804601193</v>
      </c>
      <c r="H14" s="238">
        <v>-5.1023584898181156</v>
      </c>
      <c r="I14" s="238">
        <v>-5.2378193346805428</v>
      </c>
      <c r="J14" s="238">
        <v>-5.2378193346805428</v>
      </c>
      <c r="K14" s="238">
        <v>-5.2378193346805428</v>
      </c>
      <c r="L14" s="238">
        <v>-4.7411295701849747</v>
      </c>
      <c r="M14" s="238">
        <v>-4.515361495414262</v>
      </c>
      <c r="N14" s="238">
        <v>-4.6508223402766893</v>
      </c>
      <c r="O14" s="239">
        <v>-56.938708457173838</v>
      </c>
    </row>
    <row r="15" spans="1:15" x14ac:dyDescent="0.2">
      <c r="A15" s="234"/>
      <c r="B15" s="108" t="s">
        <v>27</v>
      </c>
      <c r="C15" s="237">
        <v>-140.58678019665859</v>
      </c>
      <c r="D15" s="238">
        <v>-149.56040446454062</v>
      </c>
      <c r="E15" s="238">
        <v>-151.05600850918765</v>
      </c>
      <c r="F15" s="238">
        <v>-146.56919637526116</v>
      </c>
      <c r="G15" s="238">
        <v>-148.06480041989363</v>
      </c>
      <c r="H15" s="238">
        <v>-169.00325704493719</v>
      </c>
      <c r="I15" s="238">
        <v>-173.4900691788782</v>
      </c>
      <c r="J15" s="238">
        <v>-173.4900691788782</v>
      </c>
      <c r="K15" s="238">
        <v>-173.4900691788782</v>
      </c>
      <c r="L15" s="238">
        <v>-157.03842468776111</v>
      </c>
      <c r="M15" s="238">
        <v>-149.56040446454062</v>
      </c>
      <c r="N15" s="238">
        <v>-154.04721659848164</v>
      </c>
      <c r="O15" s="239">
        <v>-1885.9567002978968</v>
      </c>
    </row>
    <row r="16" spans="1:15" x14ac:dyDescent="0.2">
      <c r="A16" s="234"/>
      <c r="B16" s="108" t="s">
        <v>51</v>
      </c>
      <c r="C16" s="109">
        <v>110684.43482243753</v>
      </c>
      <c r="D16" s="97">
        <v>117749.39874727397</v>
      </c>
      <c r="E16" s="97">
        <v>118926.89273474671</v>
      </c>
      <c r="F16" s="97">
        <v>115394.4107723285</v>
      </c>
      <c r="G16" s="97">
        <v>116571.90475980123</v>
      </c>
      <c r="H16" s="97">
        <v>133056.82058441959</v>
      </c>
      <c r="I16" s="97">
        <v>136589.3025468378</v>
      </c>
      <c r="J16" s="97">
        <v>136589.3025468378</v>
      </c>
      <c r="K16" s="97">
        <v>136589.3025468378</v>
      </c>
      <c r="L16" s="97">
        <v>123636.86868463767</v>
      </c>
      <c r="M16" s="97">
        <v>117749.39874727397</v>
      </c>
      <c r="N16" s="97">
        <v>121281.8807096922</v>
      </c>
      <c r="O16" s="110">
        <v>1484819.9182031248</v>
      </c>
    </row>
    <row r="17" spans="1:15" x14ac:dyDescent="0.2">
      <c r="A17" s="234"/>
      <c r="B17" s="108" t="s">
        <v>91</v>
      </c>
      <c r="C17" s="109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110">
        <v>0</v>
      </c>
    </row>
    <row r="18" spans="1:15" x14ac:dyDescent="0.2">
      <c r="A18" s="234"/>
      <c r="B18" s="108" t="s">
        <v>93</v>
      </c>
      <c r="C18" s="109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110">
        <v>0</v>
      </c>
    </row>
    <row r="19" spans="1:15" x14ac:dyDescent="0.2">
      <c r="A19" s="98" t="s">
        <v>13</v>
      </c>
      <c r="B19" s="98" t="s">
        <v>72</v>
      </c>
      <c r="C19" s="105">
        <v>1144290.3615428861</v>
      </c>
      <c r="D19" s="106">
        <v>1573546.2525635988</v>
      </c>
      <c r="E19" s="106">
        <v>929074.39426400827</v>
      </c>
      <c r="F19" s="106">
        <v>664464.59842932236</v>
      </c>
      <c r="G19" s="106">
        <v>747963.68955937878</v>
      </c>
      <c r="H19" s="106">
        <v>993756.78880137589</v>
      </c>
      <c r="I19" s="106">
        <v>1054911.0527276145</v>
      </c>
      <c r="J19" s="106">
        <v>1057263.1398017006</v>
      </c>
      <c r="K19" s="106">
        <v>1063143.3574869158</v>
      </c>
      <c r="L19" s="106">
        <v>805589.82287448819</v>
      </c>
      <c r="M19" s="106">
        <v>844399.25959690881</v>
      </c>
      <c r="N19" s="106">
        <v>905553.52352314733</v>
      </c>
      <c r="O19" s="107">
        <v>11783956.241171345</v>
      </c>
    </row>
    <row r="20" spans="1:15" x14ac:dyDescent="0.2">
      <c r="A20" s="234"/>
      <c r="B20" s="108" t="s">
        <v>25</v>
      </c>
      <c r="C20" s="237">
        <v>-1411.2882680895273</v>
      </c>
      <c r="D20" s="238">
        <v>-1940.7026749269571</v>
      </c>
      <c r="E20" s="238">
        <v>-1145.8558394560823</v>
      </c>
      <c r="F20" s="238">
        <v>-819.50449277553707</v>
      </c>
      <c r="G20" s="238">
        <v>-922.48647328373045</v>
      </c>
      <c r="H20" s="238">
        <v>-1225.6306130891899</v>
      </c>
      <c r="I20" s="238">
        <v>-1301.0540354331024</v>
      </c>
      <c r="J20" s="238">
        <v>-1303.9549362924881</v>
      </c>
      <c r="K20" s="238">
        <v>-1311.2071884409525</v>
      </c>
      <c r="L20" s="238">
        <v>-993.55854433856439</v>
      </c>
      <c r="M20" s="238">
        <v>-1041.4234085183125</v>
      </c>
      <c r="N20" s="238">
        <v>-1116.846830862225</v>
      </c>
      <c r="O20" s="239">
        <v>-14533.513305506669</v>
      </c>
    </row>
    <row r="21" spans="1:15" x14ac:dyDescent="0.2">
      <c r="A21" s="234"/>
      <c r="B21" s="108" t="s">
        <v>26</v>
      </c>
      <c r="C21" s="237">
        <v>-43.934467350380757</v>
      </c>
      <c r="D21" s="238">
        <v>-60.41553680864282</v>
      </c>
      <c r="E21" s="238">
        <v>-35.671355813772664</v>
      </c>
      <c r="F21" s="238">
        <v>-25.511792449090574</v>
      </c>
      <c r="G21" s="238">
        <v>-28.717699110834701</v>
      </c>
      <c r="H21" s="238">
        <v>-38.15480463625051</v>
      </c>
      <c r="I21" s="238">
        <v>-40.502792613865921</v>
      </c>
      <c r="J21" s="238">
        <v>-40.593099843774212</v>
      </c>
      <c r="K21" s="238">
        <v>-40.818867918544925</v>
      </c>
      <c r="L21" s="238">
        <v>-30.93022624358769</v>
      </c>
      <c r="M21" s="238">
        <v>-32.420295537074395</v>
      </c>
      <c r="N21" s="238">
        <v>-34.768283514689813</v>
      </c>
      <c r="O21" s="239">
        <v>-452.43922184050899</v>
      </c>
    </row>
    <row r="22" spans="1:15" x14ac:dyDescent="0.2">
      <c r="A22" s="234"/>
      <c r="B22" s="108" t="s">
        <v>27</v>
      </c>
      <c r="C22" s="237">
        <v>-1455.2227354399081</v>
      </c>
      <c r="D22" s="238">
        <v>-2001.1182117356</v>
      </c>
      <c r="E22" s="238">
        <v>-1181.5271952698549</v>
      </c>
      <c r="F22" s="238">
        <v>-845.01628522462761</v>
      </c>
      <c r="G22" s="238">
        <v>-951.20417239456515</v>
      </c>
      <c r="H22" s="238">
        <v>-1263.7854177254403</v>
      </c>
      <c r="I22" s="238">
        <v>-1341.5568280469683</v>
      </c>
      <c r="J22" s="238">
        <v>-1344.5480361362625</v>
      </c>
      <c r="K22" s="238">
        <v>-1352.0260563594975</v>
      </c>
      <c r="L22" s="238">
        <v>-1024.488770582152</v>
      </c>
      <c r="M22" s="238">
        <v>-1073.843704055387</v>
      </c>
      <c r="N22" s="238">
        <v>-1151.6151143769148</v>
      </c>
      <c r="O22" s="239">
        <v>-14985.952527347179</v>
      </c>
    </row>
    <row r="23" spans="1:15" x14ac:dyDescent="0.2">
      <c r="A23" s="234"/>
      <c r="B23" s="108" t="s">
        <v>51</v>
      </c>
      <c r="C23" s="109">
        <v>1145701.6498109757</v>
      </c>
      <c r="D23" s="97">
        <v>1575486.9552385258</v>
      </c>
      <c r="E23" s="97">
        <v>930220.25010346435</v>
      </c>
      <c r="F23" s="97">
        <v>665284.1029220979</v>
      </c>
      <c r="G23" s="97">
        <v>748886.17603266251</v>
      </c>
      <c r="H23" s="97">
        <v>994982.41941446508</v>
      </c>
      <c r="I23" s="97">
        <v>1056212.1067630476</v>
      </c>
      <c r="J23" s="97">
        <v>1058567.0947379931</v>
      </c>
      <c r="K23" s="97">
        <v>1064454.5646753567</v>
      </c>
      <c r="L23" s="97">
        <v>806583.38141882676</v>
      </c>
      <c r="M23" s="97">
        <v>845440.68300542713</v>
      </c>
      <c r="N23" s="97">
        <v>906670.37035400956</v>
      </c>
      <c r="O23" s="110">
        <v>11798489.754476853</v>
      </c>
    </row>
    <row r="24" spans="1:15" x14ac:dyDescent="0.2">
      <c r="A24" s="234"/>
      <c r="B24" s="108" t="s">
        <v>91</v>
      </c>
      <c r="C24" s="109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110">
        <v>0</v>
      </c>
    </row>
    <row r="25" spans="1:15" x14ac:dyDescent="0.2">
      <c r="A25" s="234"/>
      <c r="B25" s="108" t="s">
        <v>93</v>
      </c>
      <c r="C25" s="109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110">
        <v>0</v>
      </c>
    </row>
    <row r="26" spans="1:15" x14ac:dyDescent="0.2">
      <c r="A26" s="98" t="s">
        <v>15</v>
      </c>
      <c r="B26" s="98" t="s">
        <v>72</v>
      </c>
      <c r="C26" s="105">
        <v>8232.3047593013398</v>
      </c>
      <c r="D26" s="106">
        <v>9408.3482963443876</v>
      </c>
      <c r="E26" s="106">
        <v>5880.2176852152425</v>
      </c>
      <c r="F26" s="106">
        <v>7056.2612222582902</v>
      </c>
      <c r="G26" s="106">
        <v>4704.1741481721938</v>
      </c>
      <c r="H26" s="106">
        <v>15288.56598155963</v>
      </c>
      <c r="I26" s="106">
        <v>19992.740129731825</v>
      </c>
      <c r="J26" s="106">
        <v>19992.740129731825</v>
      </c>
      <c r="K26" s="106">
        <v>18816.696592688775</v>
      </c>
      <c r="L26" s="106">
        <v>5880.2176852152425</v>
      </c>
      <c r="M26" s="106">
        <v>5880.2176852152425</v>
      </c>
      <c r="N26" s="106">
        <v>7056.2612222582902</v>
      </c>
      <c r="O26" s="107">
        <v>128188.7455376923</v>
      </c>
    </row>
    <row r="27" spans="1:15" x14ac:dyDescent="0.2">
      <c r="A27" s="234"/>
      <c r="B27" s="108" t="s">
        <v>25</v>
      </c>
      <c r="C27" s="237">
        <v>-10.153153007839137</v>
      </c>
      <c r="D27" s="238">
        <v>-11.603603437530182</v>
      </c>
      <c r="E27" s="238">
        <v>-7.2522521484561366</v>
      </c>
      <c r="F27" s="238">
        <v>-8.7027025781480916</v>
      </c>
      <c r="G27" s="238">
        <v>-5.8018017187650912</v>
      </c>
      <c r="H27" s="238">
        <v>-18.85585558598541</v>
      </c>
      <c r="I27" s="238">
        <v>-24.657657304749591</v>
      </c>
      <c r="J27" s="238">
        <v>-24.657657304749591</v>
      </c>
      <c r="K27" s="238">
        <v>-23.207206875060365</v>
      </c>
      <c r="L27" s="238">
        <v>-7.2522521484561366</v>
      </c>
      <c r="M27" s="238">
        <v>-7.2522521484561366</v>
      </c>
      <c r="N27" s="238">
        <v>-8.7027025781480916</v>
      </c>
      <c r="O27" s="239">
        <v>-158.09909683634396</v>
      </c>
    </row>
    <row r="28" spans="1:15" x14ac:dyDescent="0.2">
      <c r="A28" s="234"/>
      <c r="B28" s="108" t="s">
        <v>26</v>
      </c>
      <c r="C28" s="237">
        <v>-0.3160753046789983</v>
      </c>
      <c r="D28" s="238">
        <v>-0.36122891963314085</v>
      </c>
      <c r="E28" s="238">
        <v>-0.22576807477071306</v>
      </c>
      <c r="F28" s="238">
        <v>-0.2709216897248557</v>
      </c>
      <c r="G28" s="238">
        <v>-0.18061445981657043</v>
      </c>
      <c r="H28" s="238">
        <v>-0.586996994403854</v>
      </c>
      <c r="I28" s="238">
        <v>-0.76761145422042443</v>
      </c>
      <c r="J28" s="238">
        <v>-0.76761145422042443</v>
      </c>
      <c r="K28" s="238">
        <v>-0.72245783926628171</v>
      </c>
      <c r="L28" s="238">
        <v>-0.22576807477071306</v>
      </c>
      <c r="M28" s="238">
        <v>-0.22576807477071306</v>
      </c>
      <c r="N28" s="238">
        <v>-0.2709216897248557</v>
      </c>
      <c r="O28" s="239">
        <v>-4.9217440300015438</v>
      </c>
    </row>
    <row r="29" spans="1:15" x14ac:dyDescent="0.2">
      <c r="A29" s="234"/>
      <c r="B29" s="108" t="s">
        <v>27</v>
      </c>
      <c r="C29" s="237">
        <v>-10.469228312518135</v>
      </c>
      <c r="D29" s="238">
        <v>-11.964832357163324</v>
      </c>
      <c r="E29" s="238">
        <v>-7.4780202232268493</v>
      </c>
      <c r="F29" s="238">
        <v>-8.9736242678729479</v>
      </c>
      <c r="G29" s="238">
        <v>-5.9824161785816621</v>
      </c>
      <c r="H29" s="238">
        <v>-19.442852580389264</v>
      </c>
      <c r="I29" s="238">
        <v>-25.425268758970017</v>
      </c>
      <c r="J29" s="238">
        <v>-25.425268758970017</v>
      </c>
      <c r="K29" s="238">
        <v>-23.929664714326648</v>
      </c>
      <c r="L29" s="238">
        <v>-7.4780202232268493</v>
      </c>
      <c r="M29" s="238">
        <v>-7.4780202232268493</v>
      </c>
      <c r="N29" s="238">
        <v>-8.9736242678729479</v>
      </c>
      <c r="O29" s="239">
        <v>-163.02084086634551</v>
      </c>
    </row>
    <row r="30" spans="1:15" x14ac:dyDescent="0.2">
      <c r="A30" s="234"/>
      <c r="B30" s="108" t="s">
        <v>51</v>
      </c>
      <c r="C30" s="109">
        <v>8242.4579123091789</v>
      </c>
      <c r="D30" s="97">
        <v>9419.9518997819177</v>
      </c>
      <c r="E30" s="97">
        <v>5887.4699373636986</v>
      </c>
      <c r="F30" s="97">
        <v>7064.9639248364383</v>
      </c>
      <c r="G30" s="97">
        <v>4709.9759498909589</v>
      </c>
      <c r="H30" s="97">
        <v>15307.421837145615</v>
      </c>
      <c r="I30" s="97">
        <v>20017.397787036574</v>
      </c>
      <c r="J30" s="97">
        <v>20017.397787036574</v>
      </c>
      <c r="K30" s="97">
        <v>18839.903799563835</v>
      </c>
      <c r="L30" s="97">
        <v>5887.4699373636986</v>
      </c>
      <c r="M30" s="97">
        <v>5887.4699373636986</v>
      </c>
      <c r="N30" s="97">
        <v>7064.9639248364383</v>
      </c>
      <c r="O30" s="110">
        <v>128346.84463452862</v>
      </c>
    </row>
    <row r="31" spans="1:15" x14ac:dyDescent="0.2">
      <c r="A31" s="234"/>
      <c r="B31" s="108" t="s">
        <v>91</v>
      </c>
      <c r="C31" s="109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110">
        <v>0</v>
      </c>
    </row>
    <row r="32" spans="1:15" x14ac:dyDescent="0.2">
      <c r="A32" s="234"/>
      <c r="B32" s="108" t="s">
        <v>93</v>
      </c>
      <c r="C32" s="109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110">
        <v>0</v>
      </c>
    </row>
    <row r="33" spans="1:15" x14ac:dyDescent="0.2">
      <c r="A33" s="98" t="s">
        <v>16</v>
      </c>
      <c r="B33" s="98" t="s">
        <v>72</v>
      </c>
      <c r="C33" s="105">
        <v>3528.1306111291451</v>
      </c>
      <c r="D33" s="106">
        <v>5880.2176852152425</v>
      </c>
      <c r="E33" s="106">
        <v>4704.1741481721938</v>
      </c>
      <c r="F33" s="106">
        <v>4704.1741481721938</v>
      </c>
      <c r="G33" s="106">
        <v>3528.1306111291451</v>
      </c>
      <c r="H33" s="106">
        <v>5880.2176852152425</v>
      </c>
      <c r="I33" s="106">
        <v>5880.2176852152425</v>
      </c>
      <c r="J33" s="106">
        <v>4704.1741481721938</v>
      </c>
      <c r="K33" s="106">
        <v>4704.1741481721938</v>
      </c>
      <c r="L33" s="106">
        <v>4704.1741481721938</v>
      </c>
      <c r="M33" s="106">
        <v>4704.1741481721938</v>
      </c>
      <c r="N33" s="106">
        <v>1176.0435370430484</v>
      </c>
      <c r="O33" s="107">
        <v>54098.002703980215</v>
      </c>
    </row>
    <row r="34" spans="1:15" x14ac:dyDescent="0.2">
      <c r="A34" s="234"/>
      <c r="B34" s="108" t="s">
        <v>25</v>
      </c>
      <c r="C34" s="237">
        <v>-4.3513512890740458</v>
      </c>
      <c r="D34" s="238">
        <v>-7.2522521484561366</v>
      </c>
      <c r="E34" s="238">
        <v>-5.8018017187650912</v>
      </c>
      <c r="F34" s="238">
        <v>-5.8018017187650912</v>
      </c>
      <c r="G34" s="238">
        <v>-4.3513512890740458</v>
      </c>
      <c r="H34" s="238">
        <v>-7.2522521484561366</v>
      </c>
      <c r="I34" s="238">
        <v>-7.2522521484561366</v>
      </c>
      <c r="J34" s="238">
        <v>-5.8018017187650912</v>
      </c>
      <c r="K34" s="238">
        <v>-5.8018017187650912</v>
      </c>
      <c r="L34" s="238">
        <v>-5.8018017187650912</v>
      </c>
      <c r="M34" s="238">
        <v>-5.8018017187650912</v>
      </c>
      <c r="N34" s="238">
        <v>-1.4504504296912728</v>
      </c>
      <c r="O34" s="239">
        <v>-66.720719765798322</v>
      </c>
    </row>
    <row r="35" spans="1:15" x14ac:dyDescent="0.2">
      <c r="A35" s="234"/>
      <c r="B35" s="108" t="s">
        <v>26</v>
      </c>
      <c r="C35" s="237">
        <v>-0.13546084486242785</v>
      </c>
      <c r="D35" s="238">
        <v>-0.22576807477071306</v>
      </c>
      <c r="E35" s="238">
        <v>-0.18061445981657043</v>
      </c>
      <c r="F35" s="238">
        <v>-0.18061445981657043</v>
      </c>
      <c r="G35" s="238">
        <v>-0.13546084486242785</v>
      </c>
      <c r="H35" s="238">
        <v>-0.22576807477071306</v>
      </c>
      <c r="I35" s="238">
        <v>-0.22576807477071306</v>
      </c>
      <c r="J35" s="238">
        <v>-0.18061445981657043</v>
      </c>
      <c r="K35" s="238">
        <v>-0.18061445981657043</v>
      </c>
      <c r="L35" s="238">
        <v>-0.18061445981657043</v>
      </c>
      <c r="M35" s="238">
        <v>-0.18061445981657043</v>
      </c>
      <c r="N35" s="238">
        <v>-4.5153614954142607E-2</v>
      </c>
      <c r="O35" s="239">
        <v>-2.0770662878905601</v>
      </c>
    </row>
    <row r="36" spans="1:15" x14ac:dyDescent="0.2">
      <c r="A36" s="234"/>
      <c r="B36" s="108" t="s">
        <v>27</v>
      </c>
      <c r="C36" s="237">
        <v>-4.4868121339364739</v>
      </c>
      <c r="D36" s="238">
        <v>-7.4780202232268493</v>
      </c>
      <c r="E36" s="238">
        <v>-5.9824161785816621</v>
      </c>
      <c r="F36" s="238">
        <v>-5.9824161785816621</v>
      </c>
      <c r="G36" s="238">
        <v>-4.4868121339364739</v>
      </c>
      <c r="H36" s="238">
        <v>-7.4780202232268493</v>
      </c>
      <c r="I36" s="238">
        <v>-7.4780202232268493</v>
      </c>
      <c r="J36" s="238">
        <v>-5.9824161785816621</v>
      </c>
      <c r="K36" s="238">
        <v>-5.9824161785816621</v>
      </c>
      <c r="L36" s="238">
        <v>-5.9824161785816621</v>
      </c>
      <c r="M36" s="238">
        <v>-5.9824161785816621</v>
      </c>
      <c r="N36" s="238">
        <v>-1.4956040446454155</v>
      </c>
      <c r="O36" s="239">
        <v>-68.797786053688881</v>
      </c>
    </row>
    <row r="37" spans="1:15" x14ac:dyDescent="0.2">
      <c r="A37" s="234"/>
      <c r="B37" s="108" t="s">
        <v>51</v>
      </c>
      <c r="C37" s="109">
        <v>3532.4819624182192</v>
      </c>
      <c r="D37" s="97">
        <v>5887.4699373636986</v>
      </c>
      <c r="E37" s="97">
        <v>4709.9759498909589</v>
      </c>
      <c r="F37" s="97">
        <v>4709.9759498909589</v>
      </c>
      <c r="G37" s="97">
        <v>3532.4819624182192</v>
      </c>
      <c r="H37" s="97">
        <v>5887.4699373636986</v>
      </c>
      <c r="I37" s="97">
        <v>5887.4699373636986</v>
      </c>
      <c r="J37" s="97">
        <v>4709.9759498909589</v>
      </c>
      <c r="K37" s="97">
        <v>4709.9759498909589</v>
      </c>
      <c r="L37" s="97">
        <v>4709.9759498909589</v>
      </c>
      <c r="M37" s="97">
        <v>4709.9759498909589</v>
      </c>
      <c r="N37" s="97">
        <v>1177.4939874727397</v>
      </c>
      <c r="O37" s="110">
        <v>54164.723423746022</v>
      </c>
    </row>
    <row r="38" spans="1:15" x14ac:dyDescent="0.2">
      <c r="A38" s="234"/>
      <c r="B38" s="108" t="s">
        <v>91</v>
      </c>
      <c r="C38" s="109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110">
        <v>0</v>
      </c>
    </row>
    <row r="39" spans="1:15" x14ac:dyDescent="0.2">
      <c r="A39" s="234"/>
      <c r="B39" s="108" t="s">
        <v>93</v>
      </c>
      <c r="C39" s="109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110">
        <v>0</v>
      </c>
    </row>
    <row r="40" spans="1:15" x14ac:dyDescent="0.2">
      <c r="A40" s="98" t="s">
        <v>19</v>
      </c>
      <c r="B40" s="98" t="s">
        <v>72</v>
      </c>
      <c r="C40" s="105">
        <v>43513.610870592791</v>
      </c>
      <c r="D40" s="106">
        <v>38809.4367224206</v>
      </c>
      <c r="E40" s="106">
        <v>55274.046241023279</v>
      </c>
      <c r="F40" s="106">
        <v>45865.69794467889</v>
      </c>
      <c r="G40" s="106">
        <v>54098.00270398023</v>
      </c>
      <c r="H40" s="106">
        <v>59978.22038919547</v>
      </c>
      <c r="I40" s="106">
        <v>54098.00270398023</v>
      </c>
      <c r="J40" s="106">
        <v>58802.176852152421</v>
      </c>
      <c r="K40" s="106">
        <v>52921.95916693718</v>
      </c>
      <c r="L40" s="106">
        <v>54098.00270398023</v>
      </c>
      <c r="M40" s="106">
        <v>56450.089778066322</v>
      </c>
      <c r="N40" s="106">
        <v>49393.828555808032</v>
      </c>
      <c r="O40" s="107">
        <v>623303.07463281567</v>
      </c>
    </row>
    <row r="41" spans="1:15" x14ac:dyDescent="0.2">
      <c r="A41" s="234"/>
      <c r="B41" s="108" t="s">
        <v>25</v>
      </c>
      <c r="C41" s="237">
        <v>-53.666665898577776</v>
      </c>
      <c r="D41" s="238">
        <v>-47.864864179813594</v>
      </c>
      <c r="E41" s="238">
        <v>-68.171170195484592</v>
      </c>
      <c r="F41" s="238">
        <v>-56.567566757956229</v>
      </c>
      <c r="G41" s="238">
        <v>-66.720719765799004</v>
      </c>
      <c r="H41" s="238">
        <v>-73.97297191425605</v>
      </c>
      <c r="I41" s="238">
        <v>-66.720719765799004</v>
      </c>
      <c r="J41" s="238">
        <v>-72.522521484563185</v>
      </c>
      <c r="K41" s="238">
        <v>-65.270269336106139</v>
      </c>
      <c r="L41" s="238">
        <v>-66.720719765799004</v>
      </c>
      <c r="M41" s="238">
        <v>-69.621620625184732</v>
      </c>
      <c r="N41" s="238">
        <v>-60.918918047034822</v>
      </c>
      <c r="O41" s="239">
        <v>-768.73872773637413</v>
      </c>
    </row>
    <row r="42" spans="1:15" x14ac:dyDescent="0.2">
      <c r="A42" s="234"/>
      <c r="B42" s="108" t="s">
        <v>26</v>
      </c>
      <c r="C42" s="237">
        <v>-1.6706837533032768</v>
      </c>
      <c r="D42" s="238">
        <v>-1.4900692934867061</v>
      </c>
      <c r="E42" s="238">
        <v>-2.1222199028447029</v>
      </c>
      <c r="F42" s="238">
        <v>-1.7609909832115618</v>
      </c>
      <c r="G42" s="238">
        <v>-2.0770662878905601</v>
      </c>
      <c r="H42" s="238">
        <v>-2.3028343626612733</v>
      </c>
      <c r="I42" s="238">
        <v>-2.0770662878905601</v>
      </c>
      <c r="J42" s="238">
        <v>-2.257680747707131</v>
      </c>
      <c r="K42" s="238">
        <v>-2.0319126729364174</v>
      </c>
      <c r="L42" s="238">
        <v>-2.0770662878905601</v>
      </c>
      <c r="M42" s="238">
        <v>-2.1673735177988456</v>
      </c>
      <c r="N42" s="238">
        <v>-1.8964518280739897</v>
      </c>
      <c r="O42" s="239">
        <v>-23.931415925695585</v>
      </c>
    </row>
    <row r="43" spans="1:15" x14ac:dyDescent="0.2">
      <c r="A43" s="234"/>
      <c r="B43" s="108" t="s">
        <v>27</v>
      </c>
      <c r="C43" s="237">
        <v>-55.337349651881055</v>
      </c>
      <c r="D43" s="238">
        <v>-49.354933473300299</v>
      </c>
      <c r="E43" s="238">
        <v>-70.293390098329297</v>
      </c>
      <c r="F43" s="238">
        <v>-58.328557741167792</v>
      </c>
      <c r="G43" s="238">
        <v>-68.797786053689563</v>
      </c>
      <c r="H43" s="238">
        <v>-76.275806276917322</v>
      </c>
      <c r="I43" s="238">
        <v>-68.797786053689563</v>
      </c>
      <c r="J43" s="238">
        <v>-74.780202232270312</v>
      </c>
      <c r="K43" s="238">
        <v>-67.302182009042554</v>
      </c>
      <c r="L43" s="238">
        <v>-68.797786053689563</v>
      </c>
      <c r="M43" s="238">
        <v>-71.788994142983583</v>
      </c>
      <c r="N43" s="238">
        <v>-62.815369875108814</v>
      </c>
      <c r="O43" s="239">
        <v>-792.67014366206968</v>
      </c>
    </row>
    <row r="44" spans="1:15" x14ac:dyDescent="0.2">
      <c r="A44" s="234"/>
      <c r="B44" s="108" t="s">
        <v>51</v>
      </c>
      <c r="C44" s="109">
        <v>43567.277536491369</v>
      </c>
      <c r="D44" s="97">
        <v>38857.301586600413</v>
      </c>
      <c r="E44" s="97">
        <v>55342.217411218764</v>
      </c>
      <c r="F44" s="97">
        <v>45922.265511436846</v>
      </c>
      <c r="G44" s="97">
        <v>54164.723423746029</v>
      </c>
      <c r="H44" s="97">
        <v>60052.193361109727</v>
      </c>
      <c r="I44" s="97">
        <v>54164.723423746029</v>
      </c>
      <c r="J44" s="97">
        <v>58874.699373636984</v>
      </c>
      <c r="K44" s="97">
        <v>52987.229436273286</v>
      </c>
      <c r="L44" s="97">
        <v>54164.723423746029</v>
      </c>
      <c r="M44" s="97">
        <v>56519.711398691506</v>
      </c>
      <c r="N44" s="97">
        <v>49454.747473855066</v>
      </c>
      <c r="O44" s="110">
        <v>624071.81336055195</v>
      </c>
    </row>
    <row r="45" spans="1:15" x14ac:dyDescent="0.2">
      <c r="A45" s="234"/>
      <c r="B45" s="108" t="s">
        <v>91</v>
      </c>
      <c r="C45" s="109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110">
        <v>0</v>
      </c>
    </row>
    <row r="46" spans="1:15" x14ac:dyDescent="0.2">
      <c r="A46" s="234"/>
      <c r="B46" s="108" t="s">
        <v>93</v>
      </c>
      <c r="C46" s="109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110">
        <v>0</v>
      </c>
    </row>
    <row r="47" spans="1:15" x14ac:dyDescent="0.2">
      <c r="A47" s="98" t="s">
        <v>8</v>
      </c>
      <c r="B47" s="98" t="s">
        <v>72</v>
      </c>
      <c r="C47" s="105">
        <v>89379.308815271681</v>
      </c>
      <c r="D47" s="106">
        <v>116428.31016726179</v>
      </c>
      <c r="E47" s="106">
        <v>77618.8734448412</v>
      </c>
      <c r="F47" s="106">
        <v>78794.916981884249</v>
      </c>
      <c r="G47" s="106">
        <v>118780.39724134789</v>
      </c>
      <c r="H47" s="106">
        <v>165822.13872306983</v>
      </c>
      <c r="I47" s="106">
        <v>170526.31287124203</v>
      </c>
      <c r="J47" s="106">
        <v>175230.48701941423</v>
      </c>
      <c r="K47" s="106">
        <v>176406.53055645726</v>
      </c>
      <c r="L47" s="106">
        <v>134068.96322290754</v>
      </c>
      <c r="M47" s="106">
        <v>77618.8734448412</v>
      </c>
      <c r="N47" s="106">
        <v>84675.134667099483</v>
      </c>
      <c r="O47" s="107">
        <v>1465350.2471556384</v>
      </c>
    </row>
    <row r="48" spans="1:15" x14ac:dyDescent="0.2">
      <c r="A48" s="234"/>
      <c r="B48" s="108" t="s">
        <v>25</v>
      </c>
      <c r="C48" s="237">
        <v>-110.23423265654128</v>
      </c>
      <c r="D48" s="238">
        <v>-143.59459253943351</v>
      </c>
      <c r="E48" s="238">
        <v>-95.729728359627188</v>
      </c>
      <c r="F48" s="238">
        <v>-97.180178789305501</v>
      </c>
      <c r="G48" s="238">
        <v>-146.49549339881924</v>
      </c>
      <c r="H48" s="238">
        <v>-204.51351058646105</v>
      </c>
      <c r="I48" s="238">
        <v>-210.31531230523251</v>
      </c>
      <c r="J48" s="238">
        <v>-216.11711402400397</v>
      </c>
      <c r="K48" s="238">
        <v>-217.56756445369683</v>
      </c>
      <c r="L48" s="238">
        <v>-165.35134898478282</v>
      </c>
      <c r="M48" s="238">
        <v>-95.729728359627188</v>
      </c>
      <c r="N48" s="238">
        <v>-104.43243093776982</v>
      </c>
      <c r="O48" s="239">
        <v>-1807.2612353953009</v>
      </c>
    </row>
    <row r="49" spans="1:15" x14ac:dyDescent="0.2">
      <c r="A49" s="234"/>
      <c r="B49" s="108" t="s">
        <v>26</v>
      </c>
      <c r="C49" s="237">
        <v>-3.4316747365148386</v>
      </c>
      <c r="D49" s="238">
        <v>-4.4702078804601193</v>
      </c>
      <c r="E49" s="238">
        <v>-2.9801385869734123</v>
      </c>
      <c r="F49" s="238">
        <v>-3.025292201927555</v>
      </c>
      <c r="G49" s="238">
        <v>-4.5605151103684038</v>
      </c>
      <c r="H49" s="238">
        <v>-6.366659708534109</v>
      </c>
      <c r="I49" s="238">
        <v>-6.547274168350679</v>
      </c>
      <c r="J49" s="238">
        <v>-6.727888628167249</v>
      </c>
      <c r="K49" s="238">
        <v>-6.7730422431213917</v>
      </c>
      <c r="L49" s="238">
        <v>-5.1475121047722583</v>
      </c>
      <c r="M49" s="238">
        <v>-2.9801385869734123</v>
      </c>
      <c r="N49" s="238">
        <v>-3.2510602766982681</v>
      </c>
      <c r="O49" s="239">
        <v>-56.261404232861693</v>
      </c>
    </row>
    <row r="50" spans="1:15" x14ac:dyDescent="0.2">
      <c r="A50" s="234"/>
      <c r="B50" s="108" t="s">
        <v>27</v>
      </c>
      <c r="C50" s="237">
        <v>-113.66590739305612</v>
      </c>
      <c r="D50" s="238">
        <v>-148.06480041989363</v>
      </c>
      <c r="E50" s="238">
        <v>-98.709866946600599</v>
      </c>
      <c r="F50" s="238">
        <v>-100.20547099123306</v>
      </c>
      <c r="G50" s="238">
        <v>-151.05600850918765</v>
      </c>
      <c r="H50" s="238">
        <v>-210.88017029499517</v>
      </c>
      <c r="I50" s="238">
        <v>-216.86258647358318</v>
      </c>
      <c r="J50" s="238">
        <v>-222.84500265217122</v>
      </c>
      <c r="K50" s="238">
        <v>-224.34060669681821</v>
      </c>
      <c r="L50" s="238">
        <v>-170.49886108955508</v>
      </c>
      <c r="M50" s="238">
        <v>-98.709866946600599</v>
      </c>
      <c r="N50" s="238">
        <v>-107.68349121446809</v>
      </c>
      <c r="O50" s="239">
        <v>-1863.5226396281626</v>
      </c>
    </row>
    <row r="51" spans="1:15" x14ac:dyDescent="0.2">
      <c r="A51" s="234"/>
      <c r="B51" s="108" t="s">
        <v>51</v>
      </c>
      <c r="C51" s="109">
        <v>89489.543047928222</v>
      </c>
      <c r="D51" s="97">
        <v>116571.90475980123</v>
      </c>
      <c r="E51" s="97">
        <v>77714.603173200827</v>
      </c>
      <c r="F51" s="97">
        <v>78892.097160673555</v>
      </c>
      <c r="G51" s="97">
        <v>118926.89273474671</v>
      </c>
      <c r="H51" s="97">
        <v>166026.65223365629</v>
      </c>
      <c r="I51" s="97">
        <v>170736.62818354726</v>
      </c>
      <c r="J51" s="97">
        <v>175446.60413343823</v>
      </c>
      <c r="K51" s="97">
        <v>176624.09812091096</v>
      </c>
      <c r="L51" s="97">
        <v>134234.31457189232</v>
      </c>
      <c r="M51" s="97">
        <v>77714.603173200827</v>
      </c>
      <c r="N51" s="97">
        <v>84779.567098037252</v>
      </c>
      <c r="O51" s="110">
        <v>1467157.5083910336</v>
      </c>
    </row>
    <row r="52" spans="1:15" x14ac:dyDescent="0.2">
      <c r="A52" s="234"/>
      <c r="B52" s="108" t="s">
        <v>91</v>
      </c>
      <c r="C52" s="109">
        <v>0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110">
        <v>0</v>
      </c>
    </row>
    <row r="53" spans="1:15" x14ac:dyDescent="0.2">
      <c r="A53" s="234"/>
      <c r="B53" s="108" t="s">
        <v>93</v>
      </c>
      <c r="C53" s="109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110">
        <v>0</v>
      </c>
    </row>
    <row r="54" spans="1:15" x14ac:dyDescent="0.2">
      <c r="A54" s="98" t="s">
        <v>21</v>
      </c>
      <c r="B54" s="98" t="s">
        <v>72</v>
      </c>
      <c r="C54" s="105">
        <v>2982446.4099411708</v>
      </c>
      <c r="D54" s="106">
        <v>3499905.5662401123</v>
      </c>
      <c r="E54" s="106">
        <v>2590823.9121058355</v>
      </c>
      <c r="F54" s="106">
        <v>2523789.430494382</v>
      </c>
      <c r="G54" s="106">
        <v>3482264.9131844663</v>
      </c>
      <c r="H54" s="106">
        <v>4500718.6162637463</v>
      </c>
      <c r="I54" s="106">
        <v>4631259.448875525</v>
      </c>
      <c r="J54" s="106">
        <v>4706526.2352462802</v>
      </c>
      <c r="K54" s="106">
        <v>4738279.4107464422</v>
      </c>
      <c r="L54" s="106">
        <v>3672783.9661854403</v>
      </c>
      <c r="M54" s="106">
        <v>2661386.5243284185</v>
      </c>
      <c r="N54" s="106">
        <v>2797807.5746254125</v>
      </c>
      <c r="O54" s="107">
        <v>42787992.008237228</v>
      </c>
    </row>
    <row r="55" spans="1:15" x14ac:dyDescent="0.2">
      <c r="A55" s="234"/>
      <c r="B55" s="108" t="s">
        <v>25</v>
      </c>
      <c r="C55" s="237">
        <v>-3678.3422896969132</v>
      </c>
      <c r="D55" s="238">
        <v>-4316.5404787613079</v>
      </c>
      <c r="E55" s="238">
        <v>-3195.3422966101207</v>
      </c>
      <c r="F55" s="238">
        <v>-3112.6666221171618</v>
      </c>
      <c r="G55" s="238">
        <v>-4294.7837223159149</v>
      </c>
      <c r="H55" s="238">
        <v>-5550.8737944290042</v>
      </c>
      <c r="I55" s="238">
        <v>-5711.8737921239808</v>
      </c>
      <c r="J55" s="238">
        <v>-5804.7026196243241</v>
      </c>
      <c r="K55" s="238">
        <v>-5843.8647812260315</v>
      </c>
      <c r="L55" s="238">
        <v>-4529.7566919256933</v>
      </c>
      <c r="M55" s="238">
        <v>-3282.3693223912269</v>
      </c>
      <c r="N55" s="238">
        <v>-3450.6215722351335</v>
      </c>
      <c r="O55" s="239">
        <v>-52771.737983456813</v>
      </c>
    </row>
    <row r="56" spans="1:15" x14ac:dyDescent="0.2">
      <c r="A56" s="234"/>
      <c r="B56" s="108" t="s">
        <v>26</v>
      </c>
      <c r="C56" s="237">
        <v>-114.50956752370567</v>
      </c>
      <c r="D56" s="238">
        <v>-134.37715810352842</v>
      </c>
      <c r="E56" s="238">
        <v>-99.473413743976181</v>
      </c>
      <c r="F56" s="238">
        <v>-96.89965769159005</v>
      </c>
      <c r="G56" s="238">
        <v>-133.69985387921628</v>
      </c>
      <c r="H56" s="238">
        <v>-172.80288442950376</v>
      </c>
      <c r="I56" s="238">
        <v>-177.8149356894136</v>
      </c>
      <c r="J56" s="238">
        <v>-180.70476704647874</v>
      </c>
      <c r="K56" s="238">
        <v>-181.92391465024059</v>
      </c>
      <c r="L56" s="238">
        <v>-141.01473950178737</v>
      </c>
      <c r="M56" s="238">
        <v>-102.18263064122473</v>
      </c>
      <c r="N56" s="238">
        <v>-107.42044997590527</v>
      </c>
      <c r="O56" s="239">
        <v>-1642.8239728765707</v>
      </c>
    </row>
    <row r="57" spans="1:15" x14ac:dyDescent="0.2">
      <c r="A57" s="234"/>
      <c r="B57" s="108" t="s">
        <v>27</v>
      </c>
      <c r="C57" s="237">
        <v>-3792.851857220619</v>
      </c>
      <c r="D57" s="238">
        <v>-4450.9176368648359</v>
      </c>
      <c r="E57" s="238">
        <v>-3294.8157103540971</v>
      </c>
      <c r="F57" s="238">
        <v>-3209.5662798087519</v>
      </c>
      <c r="G57" s="238">
        <v>-4428.4835761951308</v>
      </c>
      <c r="H57" s="238">
        <v>-5723.6766788585082</v>
      </c>
      <c r="I57" s="238">
        <v>-5889.6887278133945</v>
      </c>
      <c r="J57" s="238">
        <v>-5985.4073866708031</v>
      </c>
      <c r="K57" s="238">
        <v>-6025.788695876272</v>
      </c>
      <c r="L57" s="238">
        <v>-4670.7714314274808</v>
      </c>
      <c r="M57" s="238">
        <v>-3384.5519530324518</v>
      </c>
      <c r="N57" s="238">
        <v>-3558.0420222110388</v>
      </c>
      <c r="O57" s="239">
        <v>-54414.561956333389</v>
      </c>
    </row>
    <row r="58" spans="1:15" x14ac:dyDescent="0.2">
      <c r="A58" s="234"/>
      <c r="B58" s="108" t="s">
        <v>51</v>
      </c>
      <c r="C58" s="109">
        <v>2986124.7522308677</v>
      </c>
      <c r="D58" s="97">
        <v>3504222.1067188736</v>
      </c>
      <c r="E58" s="97">
        <v>2594019.2544024456</v>
      </c>
      <c r="F58" s="97">
        <v>2526902.0971164992</v>
      </c>
      <c r="G58" s="97">
        <v>3486559.6969067822</v>
      </c>
      <c r="H58" s="97">
        <v>4506269.4900581753</v>
      </c>
      <c r="I58" s="97">
        <v>4636971.322667649</v>
      </c>
      <c r="J58" s="97">
        <v>4712330.9378659045</v>
      </c>
      <c r="K58" s="97">
        <v>4744123.2755276682</v>
      </c>
      <c r="L58" s="97">
        <v>3677313.722877366</v>
      </c>
      <c r="M58" s="97">
        <v>2664668.8936508098</v>
      </c>
      <c r="N58" s="97">
        <v>2801258.1961976476</v>
      </c>
      <c r="O58" s="110">
        <v>42840763.746220693</v>
      </c>
    </row>
    <row r="59" spans="1:15" x14ac:dyDescent="0.2">
      <c r="A59" s="234"/>
      <c r="B59" s="108" t="s">
        <v>91</v>
      </c>
      <c r="C59" s="109">
        <v>0</v>
      </c>
      <c r="D59" s="97">
        <v>0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110">
        <v>0</v>
      </c>
    </row>
    <row r="60" spans="1:15" x14ac:dyDescent="0.2">
      <c r="A60" s="234"/>
      <c r="B60" s="108" t="s">
        <v>93</v>
      </c>
      <c r="C60" s="109">
        <v>0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110">
        <v>0</v>
      </c>
    </row>
    <row r="61" spans="1:15" x14ac:dyDescent="0.2">
      <c r="A61" s="98" t="s">
        <v>22</v>
      </c>
      <c r="B61" s="98" t="s">
        <v>72</v>
      </c>
      <c r="C61" s="105">
        <v>3258816.6411462873</v>
      </c>
      <c r="D61" s="106">
        <v>3688072.5321669998</v>
      </c>
      <c r="E61" s="106">
        <v>2750765.8331436901</v>
      </c>
      <c r="F61" s="106">
        <v>2815448.227681058</v>
      </c>
      <c r="G61" s="106">
        <v>3301154.208479837</v>
      </c>
      <c r="H61" s="106">
        <v>3933865.6314089969</v>
      </c>
      <c r="I61" s="106">
        <v>4145553.468076746</v>
      </c>
      <c r="J61" s="106">
        <v>4132616.9891692721</v>
      </c>
      <c r="K61" s="106">
        <v>4099687.7701320667</v>
      </c>
      <c r="L61" s="106">
        <v>3265872.9023685455</v>
      </c>
      <c r="M61" s="106">
        <v>2686083.4386063227</v>
      </c>
      <c r="N61" s="106">
        <v>2851905.5773293925</v>
      </c>
      <c r="O61" s="107">
        <v>40929843.21970921</v>
      </c>
    </row>
    <row r="62" spans="1:15" x14ac:dyDescent="0.2">
      <c r="A62" s="234"/>
      <c r="B62" s="108" t="s">
        <v>25</v>
      </c>
      <c r="C62" s="237">
        <v>-4019.1981406742707</v>
      </c>
      <c r="D62" s="238">
        <v>-4548.6125475121662</v>
      </c>
      <c r="E62" s="238">
        <v>-3392.6035550478846</v>
      </c>
      <c r="F62" s="238">
        <v>-3472.3783286809921</v>
      </c>
      <c r="G62" s="238">
        <v>-4071.4143561432138</v>
      </c>
      <c r="H62" s="238">
        <v>-4851.7566873175092</v>
      </c>
      <c r="I62" s="238">
        <v>-5112.8377646617591</v>
      </c>
      <c r="J62" s="238">
        <v>-5096.8828099351376</v>
      </c>
      <c r="K62" s="238">
        <v>-5056.2701979042031</v>
      </c>
      <c r="L62" s="238">
        <v>-4027.9008432528935</v>
      </c>
      <c r="M62" s="238">
        <v>-3312.828781414777</v>
      </c>
      <c r="N62" s="238">
        <v>-3517.3422920014709</v>
      </c>
      <c r="O62" s="239">
        <v>-50480.026304546278</v>
      </c>
    </row>
    <row r="63" spans="1:15" x14ac:dyDescent="0.2">
      <c r="A63" s="234"/>
      <c r="B63" s="108" t="s">
        <v>26</v>
      </c>
      <c r="C63" s="237">
        <v>-125.12066703792918</v>
      </c>
      <c r="D63" s="238">
        <v>-141.60173649619125</v>
      </c>
      <c r="E63" s="238">
        <v>-105.61430537773957</v>
      </c>
      <c r="F63" s="238">
        <v>-108.09775420021741</v>
      </c>
      <c r="G63" s="238">
        <v>-126.7461971762783</v>
      </c>
      <c r="H63" s="238">
        <v>-151.03884202160705</v>
      </c>
      <c r="I63" s="238">
        <v>-159.16649271335271</v>
      </c>
      <c r="J63" s="238">
        <v>-158.66980294885713</v>
      </c>
      <c r="K63" s="238">
        <v>-157.40550173014117</v>
      </c>
      <c r="L63" s="238">
        <v>-125.39158872765404</v>
      </c>
      <c r="M63" s="238">
        <v>-103.13085655526173</v>
      </c>
      <c r="N63" s="238">
        <v>-109.49751626379583</v>
      </c>
      <c r="O63" s="239">
        <v>-1571.4812612490252</v>
      </c>
    </row>
    <row r="64" spans="1:15" x14ac:dyDescent="0.2">
      <c r="A64" s="234"/>
      <c r="B64" s="108" t="s">
        <v>27</v>
      </c>
      <c r="C64" s="237">
        <v>-4144.3188077121995</v>
      </c>
      <c r="D64" s="238">
        <v>-4690.214284008357</v>
      </c>
      <c r="E64" s="238">
        <v>-3498.2178604256242</v>
      </c>
      <c r="F64" s="238">
        <v>-3580.4760828812095</v>
      </c>
      <c r="G64" s="238">
        <v>-4198.1605533194925</v>
      </c>
      <c r="H64" s="238">
        <v>-5002.795529339116</v>
      </c>
      <c r="I64" s="238">
        <v>-5272.0042573751116</v>
      </c>
      <c r="J64" s="238">
        <v>-5255.5526128839947</v>
      </c>
      <c r="K64" s="238">
        <v>-5213.6756996343447</v>
      </c>
      <c r="L64" s="238">
        <v>-4153.2924319805479</v>
      </c>
      <c r="M64" s="238">
        <v>-3415.9596379700388</v>
      </c>
      <c r="N64" s="238">
        <v>-3626.8398082652666</v>
      </c>
      <c r="O64" s="239">
        <v>-52051.507565795298</v>
      </c>
    </row>
    <row r="65" spans="1:15" x14ac:dyDescent="0.2">
      <c r="A65" s="234"/>
      <c r="B65" s="108" t="s">
        <v>51</v>
      </c>
      <c r="C65" s="109">
        <v>3262835.8392869616</v>
      </c>
      <c r="D65" s="97">
        <v>3692621.1447145119</v>
      </c>
      <c r="E65" s="97">
        <v>2754158.436698738</v>
      </c>
      <c r="F65" s="97">
        <v>2818920.606009739</v>
      </c>
      <c r="G65" s="97">
        <v>3305225.6228359803</v>
      </c>
      <c r="H65" s="97">
        <v>3938717.3880963144</v>
      </c>
      <c r="I65" s="97">
        <v>4150666.3058414077</v>
      </c>
      <c r="J65" s="97">
        <v>4137713.8719792073</v>
      </c>
      <c r="K65" s="97">
        <v>4104744.0403299709</v>
      </c>
      <c r="L65" s="97">
        <v>3269900.8032117984</v>
      </c>
      <c r="M65" s="97">
        <v>2689396.2673877375</v>
      </c>
      <c r="N65" s="97">
        <v>2855422.919621394</v>
      </c>
      <c r="O65" s="110">
        <v>40980323.246013761</v>
      </c>
    </row>
    <row r="66" spans="1:15" x14ac:dyDescent="0.2">
      <c r="A66" s="234"/>
      <c r="B66" s="108" t="s">
        <v>91</v>
      </c>
      <c r="C66" s="109">
        <v>0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110">
        <v>0</v>
      </c>
    </row>
    <row r="67" spans="1:15" x14ac:dyDescent="0.2">
      <c r="A67" s="234"/>
      <c r="B67" s="108" t="s">
        <v>93</v>
      </c>
      <c r="C67" s="109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110">
        <v>0</v>
      </c>
    </row>
    <row r="68" spans="1:15" x14ac:dyDescent="0.2">
      <c r="A68" s="98" t="s">
        <v>9</v>
      </c>
      <c r="B68" s="98" t="s">
        <v>72</v>
      </c>
      <c r="C68" s="105">
        <v>50569.872092851081</v>
      </c>
      <c r="D68" s="106">
        <v>56450.089778066322</v>
      </c>
      <c r="E68" s="106">
        <v>41161.523796506699</v>
      </c>
      <c r="F68" s="106">
        <v>34105.262574248402</v>
      </c>
      <c r="G68" s="106">
        <v>39985.480259463649</v>
      </c>
      <c r="H68" s="106">
        <v>52921.95916693718</v>
      </c>
      <c r="I68" s="106">
        <v>56450.089778066322</v>
      </c>
      <c r="J68" s="106">
        <v>54098.00270398023</v>
      </c>
      <c r="K68" s="106">
        <v>54098.00270398023</v>
      </c>
      <c r="L68" s="106">
        <v>48217.785018764989</v>
      </c>
      <c r="M68" s="106">
        <v>47041.74148172194</v>
      </c>
      <c r="N68" s="106">
        <v>45865.69794467889</v>
      </c>
      <c r="O68" s="107">
        <v>580965.50729926606</v>
      </c>
    </row>
    <row r="69" spans="1:15" x14ac:dyDescent="0.2">
      <c r="A69" s="234"/>
      <c r="B69" s="108" t="s">
        <v>25</v>
      </c>
      <c r="C69" s="237">
        <v>-62.369368476727686</v>
      </c>
      <c r="D69" s="238">
        <v>-69.621620625184732</v>
      </c>
      <c r="E69" s="238">
        <v>-50.765765039192047</v>
      </c>
      <c r="F69" s="238">
        <v>-42.063062461049412</v>
      </c>
      <c r="G69" s="238">
        <v>-49.315314609499183</v>
      </c>
      <c r="H69" s="238">
        <v>-65.270269336106139</v>
      </c>
      <c r="I69" s="238">
        <v>-69.621620625184732</v>
      </c>
      <c r="J69" s="238">
        <v>-66.720719765799004</v>
      </c>
      <c r="K69" s="238">
        <v>-66.720719765799004</v>
      </c>
      <c r="L69" s="238">
        <v>-59.468467617341958</v>
      </c>
      <c r="M69" s="238">
        <v>-58.018017187649093</v>
      </c>
      <c r="N69" s="238">
        <v>-56.567566757956229</v>
      </c>
      <c r="O69" s="239">
        <v>-716.52251226748922</v>
      </c>
    </row>
    <row r="70" spans="1:15" x14ac:dyDescent="0.2">
      <c r="A70" s="234"/>
      <c r="B70" s="108" t="s">
        <v>26</v>
      </c>
      <c r="C70" s="237">
        <v>-1.9416054430281322</v>
      </c>
      <c r="D70" s="238">
        <v>-2.1673735177988456</v>
      </c>
      <c r="E70" s="238">
        <v>-1.5803765233949916</v>
      </c>
      <c r="F70" s="238">
        <v>-1.3094548336701357</v>
      </c>
      <c r="G70" s="238">
        <v>-1.5352229084408489</v>
      </c>
      <c r="H70" s="238">
        <v>-2.0319126729364174</v>
      </c>
      <c r="I70" s="238">
        <v>-2.1673735177988456</v>
      </c>
      <c r="J70" s="238">
        <v>-2.0770662878905601</v>
      </c>
      <c r="K70" s="238">
        <v>-2.0770662878905601</v>
      </c>
      <c r="L70" s="238">
        <v>-1.851298213119847</v>
      </c>
      <c r="M70" s="238">
        <v>-1.8061445981657045</v>
      </c>
      <c r="N70" s="238">
        <v>-1.7609909832115618</v>
      </c>
      <c r="O70" s="239">
        <v>-22.305885787346451</v>
      </c>
    </row>
    <row r="71" spans="1:15" x14ac:dyDescent="0.2">
      <c r="A71" s="234"/>
      <c r="B71" s="108" t="s">
        <v>27</v>
      </c>
      <c r="C71" s="237">
        <v>-64.310973919755824</v>
      </c>
      <c r="D71" s="238">
        <v>-71.788994142983583</v>
      </c>
      <c r="E71" s="238">
        <v>-52.346141562587036</v>
      </c>
      <c r="F71" s="238">
        <v>-43.37251729471955</v>
      </c>
      <c r="G71" s="238">
        <v>-50.850537517940033</v>
      </c>
      <c r="H71" s="238">
        <v>-67.302182009042554</v>
      </c>
      <c r="I71" s="238">
        <v>-71.788994142983583</v>
      </c>
      <c r="J71" s="238">
        <v>-68.797786053689563</v>
      </c>
      <c r="K71" s="238">
        <v>-68.797786053689563</v>
      </c>
      <c r="L71" s="238">
        <v>-61.319765830461805</v>
      </c>
      <c r="M71" s="238">
        <v>-59.824161785814795</v>
      </c>
      <c r="N71" s="238">
        <v>-58.328557741167792</v>
      </c>
      <c r="O71" s="239">
        <v>-738.8283980548357</v>
      </c>
    </row>
    <row r="72" spans="1:15" x14ac:dyDescent="0.2">
      <c r="A72" s="234"/>
      <c r="B72" s="108" t="s">
        <v>51</v>
      </c>
      <c r="C72" s="109">
        <v>50632.241461327809</v>
      </c>
      <c r="D72" s="97">
        <v>56519.711398691506</v>
      </c>
      <c r="E72" s="97">
        <v>41212.289561545891</v>
      </c>
      <c r="F72" s="97">
        <v>34147.325636709451</v>
      </c>
      <c r="G72" s="97">
        <v>40034.795574073149</v>
      </c>
      <c r="H72" s="97">
        <v>52987.229436273286</v>
      </c>
      <c r="I72" s="97">
        <v>56519.711398691506</v>
      </c>
      <c r="J72" s="97">
        <v>54164.723423746029</v>
      </c>
      <c r="K72" s="97">
        <v>54164.723423746029</v>
      </c>
      <c r="L72" s="97">
        <v>48277.253486382331</v>
      </c>
      <c r="M72" s="97">
        <v>47099.759498909589</v>
      </c>
      <c r="N72" s="97">
        <v>45922.265511436846</v>
      </c>
      <c r="O72" s="110">
        <v>581682.0298115334</v>
      </c>
    </row>
    <row r="73" spans="1:15" x14ac:dyDescent="0.2">
      <c r="A73" s="234"/>
      <c r="B73" s="108" t="s">
        <v>91</v>
      </c>
      <c r="C73" s="109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110">
        <v>0</v>
      </c>
    </row>
    <row r="74" spans="1:15" x14ac:dyDescent="0.2">
      <c r="A74" s="234"/>
      <c r="B74" s="108" t="s">
        <v>93</v>
      </c>
      <c r="C74" s="109">
        <v>0</v>
      </c>
      <c r="D74" s="97">
        <v>0</v>
      </c>
      <c r="E74" s="97">
        <v>0</v>
      </c>
      <c r="F74" s="97">
        <v>0</v>
      </c>
      <c r="G74" s="97">
        <v>0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110">
        <v>0</v>
      </c>
    </row>
    <row r="75" spans="1:15" x14ac:dyDescent="0.2">
      <c r="A75" s="98" t="s">
        <v>56</v>
      </c>
      <c r="B75" s="98" t="s">
        <v>72</v>
      </c>
      <c r="C75" s="105">
        <v>122308.52785247704</v>
      </c>
      <c r="D75" s="106">
        <v>156413.79042672543</v>
      </c>
      <c r="E75" s="106">
        <v>102315.78772274521</v>
      </c>
      <c r="F75" s="106">
        <v>90555.352352314731</v>
      </c>
      <c r="G75" s="106">
        <v>122308.52785247704</v>
      </c>
      <c r="H75" s="106">
        <v>169350.26933419897</v>
      </c>
      <c r="I75" s="106">
        <v>189343.00946393079</v>
      </c>
      <c r="J75" s="106">
        <v>191695.09653801689</v>
      </c>
      <c r="K75" s="106">
        <v>179934.66116758643</v>
      </c>
      <c r="L75" s="106">
        <v>137597.09383403667</v>
      </c>
      <c r="M75" s="106">
        <v>107019.96187091741</v>
      </c>
      <c r="N75" s="106">
        <v>110548.09248204656</v>
      </c>
      <c r="O75" s="107">
        <v>1679390.1708974729</v>
      </c>
    </row>
    <row r="76" spans="1:15" x14ac:dyDescent="0.2">
      <c r="A76" s="234"/>
      <c r="B76" s="108" t="s">
        <v>25</v>
      </c>
      <c r="C76" s="109">
        <v>-150.84684468788328</v>
      </c>
      <c r="D76" s="97">
        <v>-192.90990714894724</v>
      </c>
      <c r="E76" s="97">
        <v>-126.18918738314824</v>
      </c>
      <c r="F76" s="97">
        <v>-111.68468308623414</v>
      </c>
      <c r="G76" s="97">
        <v>-150.84684468788328</v>
      </c>
      <c r="H76" s="97">
        <v>-208.86486187553965</v>
      </c>
      <c r="I76" s="97">
        <v>-233.52251918028924</v>
      </c>
      <c r="J76" s="97">
        <v>-236.42342003967497</v>
      </c>
      <c r="K76" s="97">
        <v>-221.91891574274632</v>
      </c>
      <c r="L76" s="97">
        <v>-169.70270027389051</v>
      </c>
      <c r="M76" s="97">
        <v>-131.99098910190514</v>
      </c>
      <c r="N76" s="97">
        <v>-136.34234039096918</v>
      </c>
      <c r="O76" s="110">
        <v>-2071.2432135991112</v>
      </c>
    </row>
    <row r="77" spans="1:15" x14ac:dyDescent="0.2">
      <c r="A77" s="234"/>
      <c r="B77" s="108" t="s">
        <v>26</v>
      </c>
      <c r="C77" s="109">
        <v>-4.695975955230832</v>
      </c>
      <c r="D77" s="97">
        <v>-6.0054307889009673</v>
      </c>
      <c r="E77" s="97">
        <v>-3.9283645010104076</v>
      </c>
      <c r="F77" s="97">
        <v>-3.4768283514689813</v>
      </c>
      <c r="G77" s="97">
        <v>-4.695975955230832</v>
      </c>
      <c r="H77" s="97">
        <v>-6.5021205533965363</v>
      </c>
      <c r="I77" s="97">
        <v>-7.2697320076169607</v>
      </c>
      <c r="J77" s="97">
        <v>-7.3600392375252452</v>
      </c>
      <c r="K77" s="97">
        <v>-6.9085030879838198</v>
      </c>
      <c r="L77" s="97">
        <v>-5.2829729496346856</v>
      </c>
      <c r="M77" s="97">
        <v>-4.1089789608269776</v>
      </c>
      <c r="N77" s="97">
        <v>-4.2444398056894057</v>
      </c>
      <c r="O77" s="110">
        <v>-64.479362154515641</v>
      </c>
    </row>
    <row r="78" spans="1:15" x14ac:dyDescent="0.2">
      <c r="A78" s="234"/>
      <c r="B78" s="108" t="s">
        <v>27</v>
      </c>
      <c r="C78" s="109">
        <v>-155.54282064311411</v>
      </c>
      <c r="D78" s="97">
        <v>-198.91533793784822</v>
      </c>
      <c r="E78" s="97">
        <v>-130.11755188415864</v>
      </c>
      <c r="F78" s="97">
        <v>-115.16151143770313</v>
      </c>
      <c r="G78" s="97">
        <v>-155.54282064311411</v>
      </c>
      <c r="H78" s="97">
        <v>-215.36698242893618</v>
      </c>
      <c r="I78" s="97">
        <v>-240.7922511879062</v>
      </c>
      <c r="J78" s="97">
        <v>-243.78345927720022</v>
      </c>
      <c r="K78" s="97">
        <v>-228.82741883073015</v>
      </c>
      <c r="L78" s="97">
        <v>-174.9856732235252</v>
      </c>
      <c r="M78" s="97">
        <v>-136.09996806273213</v>
      </c>
      <c r="N78" s="97">
        <v>-140.58678019665859</v>
      </c>
      <c r="O78" s="110">
        <v>-2135.7225757536266</v>
      </c>
    </row>
    <row r="79" spans="1:15" x14ac:dyDescent="0.2">
      <c r="A79" s="234"/>
      <c r="B79" s="108" t="s">
        <v>51</v>
      </c>
      <c r="C79" s="109">
        <v>122459.37469716492</v>
      </c>
      <c r="D79" s="97">
        <v>156606.70033387438</v>
      </c>
      <c r="E79" s="97">
        <v>102441.97691012836</v>
      </c>
      <c r="F79" s="97">
        <v>90667.037035400965</v>
      </c>
      <c r="G79" s="97">
        <v>122459.37469716492</v>
      </c>
      <c r="H79" s="97">
        <v>169559.1341960745</v>
      </c>
      <c r="I79" s="97">
        <v>189576.53198311108</v>
      </c>
      <c r="J79" s="97">
        <v>191931.51995805657</v>
      </c>
      <c r="K79" s="97">
        <v>180156.58008332917</v>
      </c>
      <c r="L79" s="97">
        <v>137766.79653431056</v>
      </c>
      <c r="M79" s="97">
        <v>107151.95286001932</v>
      </c>
      <c r="N79" s="97">
        <v>110684.43482243753</v>
      </c>
      <c r="O79" s="110">
        <v>1681461.4141110724</v>
      </c>
    </row>
    <row r="80" spans="1:15" x14ac:dyDescent="0.2">
      <c r="A80" s="234"/>
      <c r="B80" s="108" t="s">
        <v>91</v>
      </c>
      <c r="C80" s="109">
        <v>0</v>
      </c>
      <c r="D80" s="97">
        <v>0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110">
        <v>0</v>
      </c>
    </row>
    <row r="81" spans="1:15" x14ac:dyDescent="0.2">
      <c r="A81" s="234"/>
      <c r="B81" s="108" t="s">
        <v>93</v>
      </c>
      <c r="C81" s="109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110">
        <v>0</v>
      </c>
    </row>
    <row r="82" spans="1:15" x14ac:dyDescent="0.2">
      <c r="A82" s="98" t="s">
        <v>57</v>
      </c>
      <c r="B82" s="98" t="s">
        <v>72</v>
      </c>
      <c r="C82" s="105">
        <v>12936.478907473533</v>
      </c>
      <c r="D82" s="106">
        <v>9408.3482963443876</v>
      </c>
      <c r="E82" s="106">
        <v>8232.3047593013398</v>
      </c>
      <c r="F82" s="106">
        <v>14112.52244451658</v>
      </c>
      <c r="G82" s="106">
        <v>12936.478907473533</v>
      </c>
      <c r="H82" s="106">
        <v>15288.56598155963</v>
      </c>
      <c r="I82" s="106">
        <v>15288.56598155963</v>
      </c>
      <c r="J82" s="106">
        <v>14112.52244451658</v>
      </c>
      <c r="K82" s="106">
        <v>15288.56598155963</v>
      </c>
      <c r="L82" s="106">
        <v>9408.3482963443876</v>
      </c>
      <c r="M82" s="106">
        <v>9408.3482963443876</v>
      </c>
      <c r="N82" s="106">
        <v>12936.478907473533</v>
      </c>
      <c r="O82" s="107">
        <v>149357.52920446714</v>
      </c>
    </row>
    <row r="83" spans="1:15" x14ac:dyDescent="0.2">
      <c r="A83" s="234"/>
      <c r="B83" s="108" t="s">
        <v>25</v>
      </c>
      <c r="C83" s="109">
        <v>-15.954954726605138</v>
      </c>
      <c r="D83" s="97">
        <v>-11.603603437530182</v>
      </c>
      <c r="E83" s="97">
        <v>-10.153153007839137</v>
      </c>
      <c r="F83" s="97">
        <v>-17.405405156296183</v>
      </c>
      <c r="G83" s="97">
        <v>-15.954954726605138</v>
      </c>
      <c r="H83" s="97">
        <v>-18.85585558598541</v>
      </c>
      <c r="I83" s="97">
        <v>-18.85585558598541</v>
      </c>
      <c r="J83" s="97">
        <v>-17.405405156296183</v>
      </c>
      <c r="K83" s="97">
        <v>-18.85585558598541</v>
      </c>
      <c r="L83" s="97">
        <v>-11.603603437530182</v>
      </c>
      <c r="M83" s="97">
        <v>-11.603603437530182</v>
      </c>
      <c r="N83" s="97">
        <v>-15.954954726605138</v>
      </c>
      <c r="O83" s="110">
        <v>-184.20720457079369</v>
      </c>
    </row>
    <row r="84" spans="1:15" x14ac:dyDescent="0.2">
      <c r="A84" s="234"/>
      <c r="B84" s="108" t="s">
        <v>26</v>
      </c>
      <c r="C84" s="109">
        <v>-0.49668976449556879</v>
      </c>
      <c r="D84" s="97">
        <v>-0.36122891963314085</v>
      </c>
      <c r="E84" s="97">
        <v>-0.3160753046789983</v>
      </c>
      <c r="F84" s="97">
        <v>-0.54184337944971139</v>
      </c>
      <c r="G84" s="97">
        <v>-0.49668976449556879</v>
      </c>
      <c r="H84" s="97">
        <v>-0.586996994403854</v>
      </c>
      <c r="I84" s="97">
        <v>-0.586996994403854</v>
      </c>
      <c r="J84" s="97">
        <v>-0.54184337944971139</v>
      </c>
      <c r="K84" s="97">
        <v>-0.586996994403854</v>
      </c>
      <c r="L84" s="97">
        <v>-0.36122891963314085</v>
      </c>
      <c r="M84" s="97">
        <v>-0.36122891963314085</v>
      </c>
      <c r="N84" s="97">
        <v>-0.49668976449556879</v>
      </c>
      <c r="O84" s="110">
        <v>-5.7345090991761118</v>
      </c>
    </row>
    <row r="85" spans="1:15" x14ac:dyDescent="0.2">
      <c r="A85" s="234"/>
      <c r="B85" s="108" t="s">
        <v>27</v>
      </c>
      <c r="C85" s="109">
        <v>-16.451644491100705</v>
      </c>
      <c r="D85" s="97">
        <v>-11.964832357163324</v>
      </c>
      <c r="E85" s="97">
        <v>-10.469228312518135</v>
      </c>
      <c r="F85" s="97">
        <v>-17.947248535745896</v>
      </c>
      <c r="G85" s="97">
        <v>-16.451644491100705</v>
      </c>
      <c r="H85" s="97">
        <v>-19.442852580389264</v>
      </c>
      <c r="I85" s="97">
        <v>-19.442852580389264</v>
      </c>
      <c r="J85" s="97">
        <v>-17.947248535745896</v>
      </c>
      <c r="K85" s="97">
        <v>-19.442852580389264</v>
      </c>
      <c r="L85" s="97">
        <v>-11.964832357163324</v>
      </c>
      <c r="M85" s="97">
        <v>-11.964832357163324</v>
      </c>
      <c r="N85" s="97">
        <v>-16.451644491100705</v>
      </c>
      <c r="O85" s="110">
        <v>-189.94171366996977</v>
      </c>
    </row>
    <row r="86" spans="1:15" x14ac:dyDescent="0.2">
      <c r="A86" s="234"/>
      <c r="B86" s="108" t="s">
        <v>51</v>
      </c>
      <c r="C86" s="109">
        <v>12952.433862200138</v>
      </c>
      <c r="D86" s="97">
        <v>9419.9518997819177</v>
      </c>
      <c r="E86" s="97">
        <v>8242.4579123091789</v>
      </c>
      <c r="F86" s="97">
        <v>14129.927849672877</v>
      </c>
      <c r="G86" s="97">
        <v>12952.433862200138</v>
      </c>
      <c r="H86" s="97">
        <v>15307.421837145615</v>
      </c>
      <c r="I86" s="97">
        <v>15307.421837145615</v>
      </c>
      <c r="J86" s="97">
        <v>14129.927849672877</v>
      </c>
      <c r="K86" s="97">
        <v>15307.421837145615</v>
      </c>
      <c r="L86" s="97">
        <v>9419.9518997819177</v>
      </c>
      <c r="M86" s="97">
        <v>9419.9518997819177</v>
      </c>
      <c r="N86" s="97">
        <v>12952.433862200138</v>
      </c>
      <c r="O86" s="110">
        <v>149541.7364090379</v>
      </c>
    </row>
    <row r="87" spans="1:15" x14ac:dyDescent="0.2">
      <c r="A87" s="234"/>
      <c r="B87" s="108" t="s">
        <v>91</v>
      </c>
      <c r="C87" s="109">
        <v>0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110">
        <v>0</v>
      </c>
    </row>
    <row r="88" spans="1:15" x14ac:dyDescent="0.2">
      <c r="A88" s="234"/>
      <c r="B88" s="108" t="s">
        <v>93</v>
      </c>
      <c r="C88" s="109">
        <v>0</v>
      </c>
      <c r="D88" s="97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110">
        <v>0</v>
      </c>
    </row>
    <row r="89" spans="1:15" x14ac:dyDescent="0.2">
      <c r="A89" s="98" t="s">
        <v>58</v>
      </c>
      <c r="B89" s="98" t="s">
        <v>72</v>
      </c>
      <c r="C89" s="105">
        <v>23520.87074086097</v>
      </c>
      <c r="D89" s="106">
        <v>27049.001351990115</v>
      </c>
      <c r="E89" s="106">
        <v>18816.696592688775</v>
      </c>
      <c r="F89" s="106">
        <v>23520.87074086097</v>
      </c>
      <c r="G89" s="106">
        <v>31753.17550016231</v>
      </c>
      <c r="H89" s="106">
        <v>37633.39318537755</v>
      </c>
      <c r="I89" s="106">
        <v>43513.610870592791</v>
      </c>
      <c r="J89" s="106">
        <v>38809.4367224206</v>
      </c>
      <c r="K89" s="106">
        <v>43513.610870592791</v>
      </c>
      <c r="L89" s="106">
        <v>31753.17550016231</v>
      </c>
      <c r="M89" s="106">
        <v>18816.696592688775</v>
      </c>
      <c r="N89" s="106">
        <v>22344.82720381792</v>
      </c>
      <c r="O89" s="107">
        <v>361045.36587221583</v>
      </c>
    </row>
    <row r="90" spans="1:15" x14ac:dyDescent="0.2">
      <c r="A90" s="234"/>
      <c r="B90" s="108" t="s">
        <v>25</v>
      </c>
      <c r="C90" s="109">
        <v>-29.009008593824547</v>
      </c>
      <c r="D90" s="97">
        <v>-33.360359882899502</v>
      </c>
      <c r="E90" s="97">
        <v>-23.207206875060365</v>
      </c>
      <c r="F90" s="97">
        <v>-29.009008593824547</v>
      </c>
      <c r="G90" s="97">
        <v>-39.162161601663684</v>
      </c>
      <c r="H90" s="97">
        <v>-46.41441375012073</v>
      </c>
      <c r="I90" s="97">
        <v>-53.666665898577776</v>
      </c>
      <c r="J90" s="97">
        <v>-47.864864179813594</v>
      </c>
      <c r="K90" s="97">
        <v>-53.666665898577776</v>
      </c>
      <c r="L90" s="97">
        <v>-39.162161601663684</v>
      </c>
      <c r="M90" s="97">
        <v>-23.207206875060365</v>
      </c>
      <c r="N90" s="97">
        <v>-27.55855816413532</v>
      </c>
      <c r="O90" s="110">
        <v>-445.28828191522189</v>
      </c>
    </row>
    <row r="91" spans="1:15" x14ac:dyDescent="0.2">
      <c r="A91" s="234"/>
      <c r="B91" s="108" t="s">
        <v>26</v>
      </c>
      <c r="C91" s="109">
        <v>-0.90307229908285225</v>
      </c>
      <c r="D91" s="97">
        <v>-1.0385331439452801</v>
      </c>
      <c r="E91" s="97">
        <v>-0.72245783926628171</v>
      </c>
      <c r="F91" s="97">
        <v>-0.90307229908285225</v>
      </c>
      <c r="G91" s="97">
        <v>-1.2191476037618505</v>
      </c>
      <c r="H91" s="97">
        <v>-1.4449156785325634</v>
      </c>
      <c r="I91" s="97">
        <v>-1.6706837533032768</v>
      </c>
      <c r="J91" s="97">
        <v>-1.4900692934867061</v>
      </c>
      <c r="K91" s="97">
        <v>-1.6706837533032768</v>
      </c>
      <c r="L91" s="97">
        <v>-1.2191476037618505</v>
      </c>
      <c r="M91" s="97">
        <v>-0.72245783926628171</v>
      </c>
      <c r="N91" s="97">
        <v>-0.85791868412870964</v>
      </c>
      <c r="O91" s="110">
        <v>-13.862159790921782</v>
      </c>
    </row>
    <row r="92" spans="1:15" x14ac:dyDescent="0.2">
      <c r="A92" s="234"/>
      <c r="B92" s="108" t="s">
        <v>27</v>
      </c>
      <c r="C92" s="109">
        <v>-29.912080892907397</v>
      </c>
      <c r="D92" s="97">
        <v>-34.398893026844782</v>
      </c>
      <c r="E92" s="97">
        <v>-23.929664714326648</v>
      </c>
      <c r="F92" s="97">
        <v>-29.912080892907397</v>
      </c>
      <c r="G92" s="97">
        <v>-40.381309205425531</v>
      </c>
      <c r="H92" s="97">
        <v>-47.859329428653297</v>
      </c>
      <c r="I92" s="97">
        <v>-55.337349651881055</v>
      </c>
      <c r="J92" s="97">
        <v>-49.354933473300299</v>
      </c>
      <c r="K92" s="97">
        <v>-55.337349651881055</v>
      </c>
      <c r="L92" s="97">
        <v>-40.381309205425531</v>
      </c>
      <c r="M92" s="97">
        <v>-23.929664714326648</v>
      </c>
      <c r="N92" s="97">
        <v>-28.416476848264029</v>
      </c>
      <c r="O92" s="110">
        <v>-459.15044170614362</v>
      </c>
    </row>
    <row r="93" spans="1:15" x14ac:dyDescent="0.2">
      <c r="A93" s="234"/>
      <c r="B93" s="108" t="s">
        <v>51</v>
      </c>
      <c r="C93" s="109">
        <v>23549.879749454794</v>
      </c>
      <c r="D93" s="97">
        <v>27082.361711873014</v>
      </c>
      <c r="E93" s="97">
        <v>18839.903799563835</v>
      </c>
      <c r="F93" s="97">
        <v>23549.879749454794</v>
      </c>
      <c r="G93" s="97">
        <v>31792.337661763973</v>
      </c>
      <c r="H93" s="97">
        <v>37679.807599127671</v>
      </c>
      <c r="I93" s="97">
        <v>43567.277536491369</v>
      </c>
      <c r="J93" s="97">
        <v>38857.301586600413</v>
      </c>
      <c r="K93" s="97">
        <v>43567.277536491369</v>
      </c>
      <c r="L93" s="97">
        <v>31792.337661763973</v>
      </c>
      <c r="M93" s="97">
        <v>18839.903799563835</v>
      </c>
      <c r="N93" s="97">
        <v>22372.385761982056</v>
      </c>
      <c r="O93" s="110">
        <v>361490.65415413113</v>
      </c>
    </row>
    <row r="94" spans="1:15" x14ac:dyDescent="0.2">
      <c r="A94" s="234"/>
      <c r="B94" s="108" t="s">
        <v>91</v>
      </c>
      <c r="C94" s="109">
        <v>0</v>
      </c>
      <c r="D94" s="97">
        <v>0</v>
      </c>
      <c r="E94" s="97">
        <v>0</v>
      </c>
      <c r="F94" s="97">
        <v>0</v>
      </c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110">
        <v>0</v>
      </c>
    </row>
    <row r="95" spans="1:15" x14ac:dyDescent="0.2">
      <c r="A95" s="234"/>
      <c r="B95" s="108" t="s">
        <v>93</v>
      </c>
      <c r="C95" s="109">
        <v>0</v>
      </c>
      <c r="D95" s="97">
        <v>0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110">
        <v>0</v>
      </c>
    </row>
    <row r="96" spans="1:15" x14ac:dyDescent="0.2">
      <c r="A96" s="98" t="s">
        <v>59</v>
      </c>
      <c r="B96" s="98" t="s">
        <v>72</v>
      </c>
      <c r="C96" s="105">
        <v>41161.523796506699</v>
      </c>
      <c r="D96" s="106">
        <v>38809.4367224206</v>
      </c>
      <c r="E96" s="106">
        <v>35281.306111291451</v>
      </c>
      <c r="F96" s="106">
        <v>37633.39318537755</v>
      </c>
      <c r="G96" s="106">
        <v>47041.74148172194</v>
      </c>
      <c r="H96" s="106">
        <v>54098.00270398023</v>
      </c>
      <c r="I96" s="106">
        <v>56450.089778066322</v>
      </c>
      <c r="J96" s="106">
        <v>58802.176852152421</v>
      </c>
      <c r="K96" s="106">
        <v>61154.26392623852</v>
      </c>
      <c r="L96" s="106">
        <v>47041.74148172194</v>
      </c>
      <c r="M96" s="106">
        <v>37633.39318537755</v>
      </c>
      <c r="N96" s="106">
        <v>41161.523796506699</v>
      </c>
      <c r="O96" s="107">
        <v>556268.59302136186</v>
      </c>
    </row>
    <row r="97" spans="1:15" x14ac:dyDescent="0.2">
      <c r="A97" s="234"/>
      <c r="B97" s="108" t="s">
        <v>25</v>
      </c>
      <c r="C97" s="109">
        <v>-50.765765039192047</v>
      </c>
      <c r="D97" s="97">
        <v>-47.864864179813594</v>
      </c>
      <c r="E97" s="97">
        <v>-43.513512890742277</v>
      </c>
      <c r="F97" s="97">
        <v>-46.41441375012073</v>
      </c>
      <c r="G97" s="97">
        <v>-58.018017187649093</v>
      </c>
      <c r="H97" s="97">
        <v>-66.720719765799004</v>
      </c>
      <c r="I97" s="97">
        <v>-69.621620625184732</v>
      </c>
      <c r="J97" s="97">
        <v>-72.522521484563185</v>
      </c>
      <c r="K97" s="97">
        <v>-75.423422343941638</v>
      </c>
      <c r="L97" s="97">
        <v>-58.018017187649093</v>
      </c>
      <c r="M97" s="97">
        <v>-46.41441375012073</v>
      </c>
      <c r="N97" s="97">
        <v>-50.765765039192047</v>
      </c>
      <c r="O97" s="110">
        <v>-686.06305324396817</v>
      </c>
    </row>
    <row r="98" spans="1:15" x14ac:dyDescent="0.2">
      <c r="A98" s="234"/>
      <c r="B98" s="108" t="s">
        <v>26</v>
      </c>
      <c r="C98" s="109">
        <v>-1.5803765233949916</v>
      </c>
      <c r="D98" s="97">
        <v>-1.4900692934867061</v>
      </c>
      <c r="E98" s="97">
        <v>-1.3546084486242784</v>
      </c>
      <c r="F98" s="97">
        <v>-1.4449156785325634</v>
      </c>
      <c r="G98" s="97">
        <v>-1.8061445981657045</v>
      </c>
      <c r="H98" s="97">
        <v>-2.0770662878905601</v>
      </c>
      <c r="I98" s="97">
        <v>-2.1673735177988456</v>
      </c>
      <c r="J98" s="97">
        <v>-2.257680747707131</v>
      </c>
      <c r="K98" s="97">
        <v>-2.347987977615416</v>
      </c>
      <c r="L98" s="97">
        <v>-1.8061445981657045</v>
      </c>
      <c r="M98" s="97">
        <v>-1.4449156785325634</v>
      </c>
      <c r="N98" s="97">
        <v>-1.5803765233949916</v>
      </c>
      <c r="O98" s="110">
        <v>-21.357659873309455</v>
      </c>
    </row>
    <row r="99" spans="1:15" x14ac:dyDescent="0.2">
      <c r="A99" s="234"/>
      <c r="B99" s="108" t="s">
        <v>27</v>
      </c>
      <c r="C99" s="109">
        <v>-52.346141562587036</v>
      </c>
      <c r="D99" s="97">
        <v>-49.354933473300299</v>
      </c>
      <c r="E99" s="97">
        <v>-44.868121339366553</v>
      </c>
      <c r="F99" s="97">
        <v>-47.859329428653297</v>
      </c>
      <c r="G99" s="97">
        <v>-59.824161785814795</v>
      </c>
      <c r="H99" s="97">
        <v>-68.797786053689563</v>
      </c>
      <c r="I99" s="97">
        <v>-71.788994142983583</v>
      </c>
      <c r="J99" s="97">
        <v>-74.780202232270312</v>
      </c>
      <c r="K99" s="97">
        <v>-77.771410321557056</v>
      </c>
      <c r="L99" s="97">
        <v>-59.824161785814795</v>
      </c>
      <c r="M99" s="97">
        <v>-47.859329428653297</v>
      </c>
      <c r="N99" s="97">
        <v>-52.346141562587036</v>
      </c>
      <c r="O99" s="110">
        <v>-707.42071311727761</v>
      </c>
    </row>
    <row r="100" spans="1:15" x14ac:dyDescent="0.2">
      <c r="A100" s="234"/>
      <c r="B100" s="108" t="s">
        <v>51</v>
      </c>
      <c r="C100" s="109">
        <v>41212.289561545891</v>
      </c>
      <c r="D100" s="97">
        <v>38857.301586600413</v>
      </c>
      <c r="E100" s="97">
        <v>35324.819624182193</v>
      </c>
      <c r="F100" s="97">
        <v>37679.807599127671</v>
      </c>
      <c r="G100" s="97">
        <v>47099.759498909589</v>
      </c>
      <c r="H100" s="97">
        <v>54164.723423746029</v>
      </c>
      <c r="I100" s="97">
        <v>56519.711398691506</v>
      </c>
      <c r="J100" s="97">
        <v>58874.699373636984</v>
      </c>
      <c r="K100" s="97">
        <v>61229.687348582462</v>
      </c>
      <c r="L100" s="97">
        <v>47099.759498909589</v>
      </c>
      <c r="M100" s="97">
        <v>37679.807599127671</v>
      </c>
      <c r="N100" s="97">
        <v>41212.289561545891</v>
      </c>
      <c r="O100" s="110">
        <v>556954.65607460588</v>
      </c>
    </row>
    <row r="101" spans="1:15" x14ac:dyDescent="0.2">
      <c r="A101" s="234"/>
      <c r="B101" s="108" t="s">
        <v>91</v>
      </c>
      <c r="C101" s="109">
        <v>0</v>
      </c>
      <c r="D101" s="97">
        <v>0</v>
      </c>
      <c r="E101" s="97">
        <v>0</v>
      </c>
      <c r="F101" s="97">
        <v>0</v>
      </c>
      <c r="G101" s="97">
        <v>0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110">
        <v>0</v>
      </c>
    </row>
    <row r="102" spans="1:15" x14ac:dyDescent="0.2">
      <c r="A102" s="234"/>
      <c r="B102" s="108" t="s">
        <v>93</v>
      </c>
      <c r="C102" s="109">
        <v>0</v>
      </c>
      <c r="D102" s="97">
        <v>0</v>
      </c>
      <c r="E102" s="97">
        <v>0</v>
      </c>
      <c r="F102" s="97">
        <v>0</v>
      </c>
      <c r="G102" s="97">
        <v>0</v>
      </c>
      <c r="H102" s="97">
        <v>0</v>
      </c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110">
        <v>0</v>
      </c>
    </row>
    <row r="103" spans="1:15" x14ac:dyDescent="0.2">
      <c r="A103" s="98" t="s">
        <v>83</v>
      </c>
      <c r="B103" s="98" t="s">
        <v>72</v>
      </c>
      <c r="C103" s="105">
        <v>171702.35640828506</v>
      </c>
      <c r="D103" s="106">
        <v>249321.22985312628</v>
      </c>
      <c r="E103" s="106">
        <v>147005.44213038107</v>
      </c>
      <c r="F103" s="106">
        <v>108196.00540796046</v>
      </c>
      <c r="G103" s="106">
        <v>119956.44077839094</v>
      </c>
      <c r="H103" s="106">
        <v>145829.398593338</v>
      </c>
      <c r="I103" s="106">
        <v>162294.0081119407</v>
      </c>
      <c r="J103" s="106">
        <v>164646.0951860268</v>
      </c>
      <c r="K103" s="106">
        <v>164646.0951860268</v>
      </c>
      <c r="L103" s="106">
        <v>124660.61492656314</v>
      </c>
      <c r="M103" s="106">
        <v>125836.65846360619</v>
      </c>
      <c r="N103" s="106">
        <v>129364.78907473532</v>
      </c>
      <c r="O103" s="107">
        <v>1813459.1341203805</v>
      </c>
    </row>
    <row r="104" spans="1:15" x14ac:dyDescent="0.2">
      <c r="A104" s="234"/>
      <c r="B104" s="108" t="s">
        <v>25</v>
      </c>
      <c r="C104" s="109">
        <v>-211.76576273492537</v>
      </c>
      <c r="D104" s="97">
        <v>-307.49549109453801</v>
      </c>
      <c r="E104" s="97">
        <v>-181.30630371140433</v>
      </c>
      <c r="F104" s="97">
        <v>-133.44143953159801</v>
      </c>
      <c r="G104" s="97">
        <v>-147.9459438285121</v>
      </c>
      <c r="H104" s="97">
        <v>-179.85585328171146</v>
      </c>
      <c r="I104" s="97">
        <v>-200.16215929738246</v>
      </c>
      <c r="J104" s="97">
        <v>-203.06306015676819</v>
      </c>
      <c r="K104" s="97">
        <v>-203.06306015676819</v>
      </c>
      <c r="L104" s="97">
        <v>-153.74774554726901</v>
      </c>
      <c r="M104" s="97">
        <v>-155.19819597696187</v>
      </c>
      <c r="N104" s="97">
        <v>-159.54954726604046</v>
      </c>
      <c r="O104" s="110">
        <v>-2236.5945625838795</v>
      </c>
    </row>
    <row r="105" spans="1:15" x14ac:dyDescent="0.2">
      <c r="A105" s="234"/>
      <c r="B105" s="108" t="s">
        <v>26</v>
      </c>
      <c r="C105" s="109">
        <v>-6.5924277833048217</v>
      </c>
      <c r="D105" s="97">
        <v>-9.5725663702782349</v>
      </c>
      <c r="E105" s="97">
        <v>-5.6442018692678264</v>
      </c>
      <c r="F105" s="97">
        <v>-4.1541325757811203</v>
      </c>
      <c r="G105" s="97">
        <v>-4.6056687253225466</v>
      </c>
      <c r="H105" s="97">
        <v>-5.5990482543136837</v>
      </c>
      <c r="I105" s="97">
        <v>-6.2311988636716809</v>
      </c>
      <c r="J105" s="97">
        <v>-6.3215060935799663</v>
      </c>
      <c r="K105" s="97">
        <v>-6.3215060935799663</v>
      </c>
      <c r="L105" s="97">
        <v>-4.7862831851391174</v>
      </c>
      <c r="M105" s="97">
        <v>-4.8314368000932602</v>
      </c>
      <c r="N105" s="97">
        <v>-4.9668976449556874</v>
      </c>
      <c r="O105" s="110">
        <v>-69.626874259287931</v>
      </c>
    </row>
    <row r="106" spans="1:15" x14ac:dyDescent="0.2">
      <c r="A106" s="234"/>
      <c r="B106" s="108" t="s">
        <v>27</v>
      </c>
      <c r="C106" s="109">
        <v>-218.3581905182302</v>
      </c>
      <c r="D106" s="97">
        <v>-317.06805746481626</v>
      </c>
      <c r="E106" s="97">
        <v>-186.95050558067214</v>
      </c>
      <c r="F106" s="97">
        <v>-137.59557210737913</v>
      </c>
      <c r="G106" s="97">
        <v>-152.55161255383464</v>
      </c>
      <c r="H106" s="97">
        <v>-185.45490153602515</v>
      </c>
      <c r="I106" s="97">
        <v>-206.39335816105415</v>
      </c>
      <c r="J106" s="97">
        <v>-209.38456625034814</v>
      </c>
      <c r="K106" s="97">
        <v>-209.38456625034814</v>
      </c>
      <c r="L106" s="97">
        <v>-158.53402873240813</v>
      </c>
      <c r="M106" s="97">
        <v>-160.02963277705513</v>
      </c>
      <c r="N106" s="97">
        <v>-164.51644491099614</v>
      </c>
      <c r="O106" s="110">
        <v>-2306.2214368431673</v>
      </c>
    </row>
    <row r="107" spans="1:15" x14ac:dyDescent="0.2">
      <c r="A107" s="234"/>
      <c r="B107" s="108" t="s">
        <v>51</v>
      </c>
      <c r="C107" s="109">
        <v>171914.12217101999</v>
      </c>
      <c r="D107" s="97">
        <v>249628.72534422082</v>
      </c>
      <c r="E107" s="97">
        <v>147186.74843409247</v>
      </c>
      <c r="F107" s="97">
        <v>108329.44684749206</v>
      </c>
      <c r="G107" s="97">
        <v>120104.38672221945</v>
      </c>
      <c r="H107" s="97">
        <v>146009.25444661971</v>
      </c>
      <c r="I107" s="97">
        <v>162494.17027123808</v>
      </c>
      <c r="J107" s="97">
        <v>164849.15824618356</v>
      </c>
      <c r="K107" s="97">
        <v>164849.15824618356</v>
      </c>
      <c r="L107" s="97">
        <v>124814.36267211041</v>
      </c>
      <c r="M107" s="97">
        <v>125991.85665958315</v>
      </c>
      <c r="N107" s="97">
        <v>129524.33862200136</v>
      </c>
      <c r="O107" s="110">
        <v>1815695.7286829643</v>
      </c>
    </row>
    <row r="108" spans="1:15" x14ac:dyDescent="0.2">
      <c r="A108" s="234"/>
      <c r="B108" s="108" t="s">
        <v>91</v>
      </c>
      <c r="C108" s="109">
        <v>0</v>
      </c>
      <c r="D108" s="97">
        <v>0</v>
      </c>
      <c r="E108" s="97">
        <v>0</v>
      </c>
      <c r="F108" s="97">
        <v>0</v>
      </c>
      <c r="G108" s="97">
        <v>0</v>
      </c>
      <c r="H108" s="97">
        <v>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110">
        <v>0</v>
      </c>
    </row>
    <row r="109" spans="1:15" x14ac:dyDescent="0.2">
      <c r="A109" s="234"/>
      <c r="B109" s="108" t="s">
        <v>93</v>
      </c>
      <c r="C109" s="109">
        <v>0</v>
      </c>
      <c r="D109" s="97">
        <v>0</v>
      </c>
      <c r="E109" s="97">
        <v>0</v>
      </c>
      <c r="F109" s="97">
        <v>0</v>
      </c>
      <c r="G109" s="97">
        <v>0</v>
      </c>
      <c r="H109" s="97">
        <v>0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110">
        <v>0</v>
      </c>
    </row>
    <row r="110" spans="1:15" x14ac:dyDescent="0.2">
      <c r="A110" s="98" t="s">
        <v>87</v>
      </c>
      <c r="B110" s="98" t="s">
        <v>72</v>
      </c>
      <c r="C110" s="105">
        <v>44689.65440763584</v>
      </c>
      <c r="D110" s="106">
        <v>70562.612222582902</v>
      </c>
      <c r="E110" s="106">
        <v>36457.349648334501</v>
      </c>
      <c r="F110" s="106">
        <v>23520.87074086097</v>
      </c>
      <c r="G110" s="106">
        <v>32929.219037205359</v>
      </c>
      <c r="H110" s="106">
        <v>52921.95916693718</v>
      </c>
      <c r="I110" s="106">
        <v>62330.30746328157</v>
      </c>
      <c r="J110" s="106">
        <v>58802.176852152421</v>
      </c>
      <c r="K110" s="106">
        <v>57626.133315109371</v>
      </c>
      <c r="L110" s="106">
        <v>44689.65440763584</v>
      </c>
      <c r="M110" s="106">
        <v>37633.39318537755</v>
      </c>
      <c r="N110" s="106">
        <v>36457.349648334501</v>
      </c>
      <c r="O110" s="107">
        <v>558620.68009544793</v>
      </c>
    </row>
    <row r="111" spans="1:15" x14ac:dyDescent="0.2">
      <c r="A111" s="234"/>
      <c r="B111" s="108" t="s">
        <v>25</v>
      </c>
      <c r="C111" s="109">
        <v>-55.11711632827064</v>
      </c>
      <c r="D111" s="97">
        <v>-87.027025781484554</v>
      </c>
      <c r="E111" s="97">
        <v>-44.963963320427865</v>
      </c>
      <c r="F111" s="97">
        <v>-29.009008593824547</v>
      </c>
      <c r="G111" s="97">
        <v>-40.612612031356548</v>
      </c>
      <c r="H111" s="97">
        <v>-65.270269336106139</v>
      </c>
      <c r="I111" s="97">
        <v>-76.873872773634503</v>
      </c>
      <c r="J111" s="97">
        <v>-72.522521484563185</v>
      </c>
      <c r="K111" s="97">
        <v>-71.072071054877597</v>
      </c>
      <c r="L111" s="97">
        <v>-55.11711632827064</v>
      </c>
      <c r="M111" s="97">
        <v>-46.41441375012073</v>
      </c>
      <c r="N111" s="97">
        <v>-44.963963320427865</v>
      </c>
      <c r="O111" s="110">
        <v>-688.96395410336481</v>
      </c>
    </row>
    <row r="112" spans="1:15" x14ac:dyDescent="0.2">
      <c r="A112" s="234"/>
      <c r="B112" s="108" t="s">
        <v>26</v>
      </c>
      <c r="C112" s="109">
        <v>-1.7158373682574193</v>
      </c>
      <c r="D112" s="97">
        <v>-2.7092168972485569</v>
      </c>
      <c r="E112" s="97">
        <v>-1.3997620635784209</v>
      </c>
      <c r="F112" s="97">
        <v>-0.90307229908285225</v>
      </c>
      <c r="G112" s="97">
        <v>-1.2643012187159932</v>
      </c>
      <c r="H112" s="97">
        <v>-2.0319126729364174</v>
      </c>
      <c r="I112" s="97">
        <v>-2.3931415925695587</v>
      </c>
      <c r="J112" s="97">
        <v>-2.257680747707131</v>
      </c>
      <c r="K112" s="97">
        <v>-2.2125271327529883</v>
      </c>
      <c r="L112" s="97">
        <v>-1.7158373682574193</v>
      </c>
      <c r="M112" s="97">
        <v>-1.4449156785325634</v>
      </c>
      <c r="N112" s="97">
        <v>-1.3997620635784209</v>
      </c>
      <c r="O112" s="110">
        <v>-21.447967103217742</v>
      </c>
    </row>
    <row r="113" spans="1:15" x14ac:dyDescent="0.2">
      <c r="A113" s="234"/>
      <c r="B113" s="108" t="s">
        <v>27</v>
      </c>
      <c r="C113" s="109">
        <v>-56.832953696528058</v>
      </c>
      <c r="D113" s="97">
        <v>-89.736242678733106</v>
      </c>
      <c r="E113" s="97">
        <v>-46.363725384006287</v>
      </c>
      <c r="F113" s="97">
        <v>-29.912080892907397</v>
      </c>
      <c r="G113" s="97">
        <v>-41.876913250072541</v>
      </c>
      <c r="H113" s="97">
        <v>-67.302182009042554</v>
      </c>
      <c r="I113" s="97">
        <v>-79.267014366204066</v>
      </c>
      <c r="J113" s="97">
        <v>-74.780202232270312</v>
      </c>
      <c r="K113" s="97">
        <v>-73.284598187630579</v>
      </c>
      <c r="L113" s="97">
        <v>-56.832953696528058</v>
      </c>
      <c r="M113" s="97">
        <v>-47.859329428653297</v>
      </c>
      <c r="N113" s="97">
        <v>-46.363725384006287</v>
      </c>
      <c r="O113" s="110">
        <v>-710.41192120658263</v>
      </c>
    </row>
    <row r="114" spans="1:15" x14ac:dyDescent="0.2">
      <c r="A114" s="234"/>
      <c r="B114" s="108" t="s">
        <v>51</v>
      </c>
      <c r="C114" s="109">
        <v>44744.771523964111</v>
      </c>
      <c r="D114" s="97">
        <v>70649.639248364387</v>
      </c>
      <c r="E114" s="97">
        <v>36502.313611654929</v>
      </c>
      <c r="F114" s="97">
        <v>23549.879749454794</v>
      </c>
      <c r="G114" s="97">
        <v>32969.831649236716</v>
      </c>
      <c r="H114" s="97">
        <v>52987.229436273286</v>
      </c>
      <c r="I114" s="97">
        <v>62407.181336055204</v>
      </c>
      <c r="J114" s="97">
        <v>58874.699373636984</v>
      </c>
      <c r="K114" s="97">
        <v>57697.205386164249</v>
      </c>
      <c r="L114" s="97">
        <v>44744.771523964111</v>
      </c>
      <c r="M114" s="97">
        <v>37679.807599127671</v>
      </c>
      <c r="N114" s="97">
        <v>36502.313611654929</v>
      </c>
      <c r="O114" s="110">
        <v>559309.64404955134</v>
      </c>
    </row>
    <row r="115" spans="1:15" x14ac:dyDescent="0.2">
      <c r="A115" s="234"/>
      <c r="B115" s="108" t="s">
        <v>91</v>
      </c>
      <c r="C115" s="109">
        <v>0</v>
      </c>
      <c r="D115" s="97">
        <v>0</v>
      </c>
      <c r="E115" s="97">
        <v>0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110">
        <v>0</v>
      </c>
    </row>
    <row r="116" spans="1:15" x14ac:dyDescent="0.2">
      <c r="A116" s="234"/>
      <c r="B116" s="108" t="s">
        <v>93</v>
      </c>
      <c r="C116" s="109">
        <v>0</v>
      </c>
      <c r="D116" s="97">
        <v>0</v>
      </c>
      <c r="E116" s="97">
        <v>0</v>
      </c>
      <c r="F116" s="97">
        <v>0</v>
      </c>
      <c r="G116" s="97">
        <v>0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110">
        <v>0</v>
      </c>
    </row>
    <row r="117" spans="1:15" x14ac:dyDescent="0.2">
      <c r="A117" s="98" t="s">
        <v>73</v>
      </c>
      <c r="B117" s="99"/>
      <c r="C117" s="105">
        <v>9009669.537286792</v>
      </c>
      <c r="D117" s="106">
        <v>10906627.76253723</v>
      </c>
      <c r="E117" s="106">
        <v>7626642.3377241679</v>
      </c>
      <c r="F117" s="106">
        <v>7112711.312036355</v>
      </c>
      <c r="G117" s="106">
        <v>8944987.142749425</v>
      </c>
      <c r="H117" s="106">
        <v>11324123.218187511</v>
      </c>
      <c r="I117" s="106">
        <v>11893328.290116347</v>
      </c>
      <c r="J117" s="106">
        <v>11981531.555394573</v>
      </c>
      <c r="K117" s="106">
        <v>11940370.031598067</v>
      </c>
      <c r="L117" s="106">
        <v>9310736.6827698126</v>
      </c>
      <c r="M117" s="106">
        <v>7604297.5105203502</v>
      </c>
      <c r="N117" s="106">
        <v>7962990.7893184815</v>
      </c>
      <c r="O117" s="107">
        <v>115618016.17023914</v>
      </c>
    </row>
    <row r="118" spans="1:15" x14ac:dyDescent="0.2">
      <c r="A118" s="98" t="s">
        <v>28</v>
      </c>
      <c r="B118" s="99"/>
      <c r="C118" s="240">
        <v>-11111.900741864405</v>
      </c>
      <c r="D118" s="241">
        <v>-13451.47728495738</v>
      </c>
      <c r="E118" s="241">
        <v>-9406.1710365481485</v>
      </c>
      <c r="F118" s="241">
        <v>-8772.324198772465</v>
      </c>
      <c r="G118" s="241">
        <v>-11032.125968231785</v>
      </c>
      <c r="H118" s="241">
        <v>-13966.38718749796</v>
      </c>
      <c r="I118" s="241">
        <v>-14668.405195467712</v>
      </c>
      <c r="J118" s="241">
        <v>-14777.188977694681</v>
      </c>
      <c r="K118" s="241">
        <v>-14726.423212655664</v>
      </c>
      <c r="L118" s="241">
        <v>-11483.216051865938</v>
      </c>
      <c r="M118" s="241">
        <v>-9378.6124783835239</v>
      </c>
      <c r="N118" s="241">
        <v>-9820.9998594392328</v>
      </c>
      <c r="O118" s="242">
        <v>-142595.23219337891</v>
      </c>
    </row>
    <row r="119" spans="1:15" x14ac:dyDescent="0.2">
      <c r="A119" s="98" t="s">
        <v>29</v>
      </c>
      <c r="B119" s="99"/>
      <c r="C119" s="240">
        <v>-345.92184416368656</v>
      </c>
      <c r="D119" s="241">
        <v>-418.75462508471873</v>
      </c>
      <c r="E119" s="241">
        <v>-292.82119297761483</v>
      </c>
      <c r="F119" s="241">
        <v>-273.0890632426545</v>
      </c>
      <c r="G119" s="241">
        <v>-343.43839534120872</v>
      </c>
      <c r="H119" s="241">
        <v>-434.78415839343921</v>
      </c>
      <c r="I119" s="241">
        <v>-456.63850803124427</v>
      </c>
      <c r="J119" s="241">
        <v>-460.0250291528049</v>
      </c>
      <c r="K119" s="241">
        <v>-458.44465262940992</v>
      </c>
      <c r="L119" s="241">
        <v>-357.48116959194709</v>
      </c>
      <c r="M119" s="241">
        <v>-291.96327429348611</v>
      </c>
      <c r="N119" s="241">
        <v>-305.73512685449964</v>
      </c>
      <c r="O119" s="242">
        <v>-4439.0970397567144</v>
      </c>
    </row>
    <row r="120" spans="1:15" x14ac:dyDescent="0.2">
      <c r="A120" s="98" t="s">
        <v>30</v>
      </c>
      <c r="B120" s="99"/>
      <c r="C120" s="240">
        <v>-11457.822586028089</v>
      </c>
      <c r="D120" s="241">
        <v>-13870.231910042099</v>
      </c>
      <c r="E120" s="241">
        <v>-9698.9922295257638</v>
      </c>
      <c r="F120" s="241">
        <v>-9045.4132620151177</v>
      </c>
      <c r="G120" s="241">
        <v>-11375.564363572992</v>
      </c>
      <c r="H120" s="241">
        <v>-14401.171345891398</v>
      </c>
      <c r="I120" s="241">
        <v>-15125.043703498955</v>
      </c>
      <c r="J120" s="241">
        <v>-15237.214006847486</v>
      </c>
      <c r="K120" s="241">
        <v>-15184.867865285076</v>
      </c>
      <c r="L120" s="241">
        <v>-11840.697221457887</v>
      </c>
      <c r="M120" s="241">
        <v>-9670.5757526770103</v>
      </c>
      <c r="N120" s="241">
        <v>-10126.734986293732</v>
      </c>
      <c r="O120" s="242">
        <v>-147034.32923313562</v>
      </c>
    </row>
    <row r="121" spans="1:15" x14ac:dyDescent="0.2">
      <c r="A121" s="98" t="s">
        <v>63</v>
      </c>
      <c r="B121" s="99"/>
      <c r="C121" s="105">
        <v>9020781.4380286578</v>
      </c>
      <c r="D121" s="106">
        <v>10920079.239822187</v>
      </c>
      <c r="E121" s="106">
        <v>7636048.5087607158</v>
      </c>
      <c r="F121" s="106">
        <v>7121483.6362351272</v>
      </c>
      <c r="G121" s="106">
        <v>8956019.2687176578</v>
      </c>
      <c r="H121" s="106">
        <v>11338089.605375009</v>
      </c>
      <c r="I121" s="106">
        <v>11907996.695311815</v>
      </c>
      <c r="J121" s="106">
        <v>11996308.744372269</v>
      </c>
      <c r="K121" s="106">
        <v>11955096.454810724</v>
      </c>
      <c r="L121" s="106">
        <v>9322219.8988216799</v>
      </c>
      <c r="M121" s="106">
        <v>7613676.1229987331</v>
      </c>
      <c r="N121" s="106">
        <v>7972811.7891779179</v>
      </c>
      <c r="O121" s="107">
        <v>115760611.40243253</v>
      </c>
    </row>
    <row r="122" spans="1:15" x14ac:dyDescent="0.2">
      <c r="A122" s="98" t="s">
        <v>92</v>
      </c>
      <c r="B122" s="99"/>
      <c r="C122" s="105">
        <v>0</v>
      </c>
      <c r="D122" s="106">
        <v>0</v>
      </c>
      <c r="E122" s="106">
        <v>0</v>
      </c>
      <c r="F122" s="106">
        <v>0</v>
      </c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7">
        <v>0</v>
      </c>
    </row>
    <row r="123" spans="1:15" x14ac:dyDescent="0.2">
      <c r="A123" s="111" t="s">
        <v>94</v>
      </c>
      <c r="B123" s="235"/>
      <c r="C123" s="112">
        <v>0</v>
      </c>
      <c r="D123" s="113">
        <v>0</v>
      </c>
      <c r="E123" s="113">
        <v>0</v>
      </c>
      <c r="F123" s="113">
        <v>0</v>
      </c>
      <c r="G123" s="113">
        <v>0</v>
      </c>
      <c r="H123" s="113">
        <v>0</v>
      </c>
      <c r="I123" s="113">
        <v>0</v>
      </c>
      <c r="J123" s="113">
        <v>0</v>
      </c>
      <c r="K123" s="113">
        <v>0</v>
      </c>
      <c r="L123" s="113">
        <v>0</v>
      </c>
      <c r="M123" s="113">
        <v>0</v>
      </c>
      <c r="N123" s="113">
        <v>0</v>
      </c>
      <c r="O123" s="114">
        <v>0</v>
      </c>
    </row>
    <row r="125" spans="1:15" x14ac:dyDescent="0.2">
      <c r="L125" s="243"/>
      <c r="O125" s="243"/>
    </row>
    <row r="126" spans="1:15" x14ac:dyDescent="0.2">
      <c r="L126" s="97"/>
      <c r="O126" s="97"/>
    </row>
  </sheetData>
  <phoneticPr fontId="6" type="noConversion"/>
  <pageMargins left="0.5" right="0.5" top="0.73" bottom="0.98" header="0.5" footer="0.5"/>
  <pageSetup scale="54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220"/>
  <sheetViews>
    <sheetView showGridLines="0" zoomScale="80" zoomScaleNormal="80" zoomScaleSheetLayoutView="100" workbookViewId="0">
      <selection activeCell="N20" sqref="N20"/>
    </sheetView>
  </sheetViews>
  <sheetFormatPr defaultColWidth="8.7109375" defaultRowHeight="12.75" x14ac:dyDescent="0.2"/>
  <cols>
    <col min="1" max="1" width="0.5703125" style="1" customWidth="1"/>
    <col min="2" max="2" width="10.28515625" style="1" bestFit="1" customWidth="1"/>
    <col min="3" max="3" width="10.7109375" style="1" bestFit="1" customWidth="1"/>
    <col min="4" max="4" width="11" style="160" customWidth="1"/>
    <col min="5" max="5" width="24.28515625" style="1" customWidth="1"/>
    <col min="6" max="6" width="7.7109375" style="160" customWidth="1"/>
    <col min="7" max="7" width="6.7109375" style="160" customWidth="1"/>
    <col min="8" max="8" width="11.140625" style="160" bestFit="1" customWidth="1"/>
    <col min="9" max="9" width="11.28515625" style="161" customWidth="1"/>
    <col min="10" max="10" width="13.7109375" style="160" customWidth="1"/>
    <col min="11" max="11" width="13.5703125" style="162" customWidth="1"/>
    <col min="12" max="12" width="14.7109375" style="160" customWidth="1"/>
    <col min="13" max="13" width="13.42578125" style="125" bestFit="1" customWidth="1"/>
    <col min="14" max="17" width="13.42578125" style="125" customWidth="1"/>
    <col min="18" max="18" width="15.5703125" style="233" customWidth="1"/>
    <col min="19" max="16384" width="8.7109375" style="1"/>
  </cols>
  <sheetData>
    <row r="1" spans="2:18" ht="22.5" x14ac:dyDescent="0.2">
      <c r="B1" s="10" t="s">
        <v>101</v>
      </c>
      <c r="C1" s="115"/>
      <c r="D1" s="116"/>
      <c r="E1" s="115"/>
      <c r="F1" s="117" t="s">
        <v>12</v>
      </c>
      <c r="G1" s="118"/>
      <c r="H1" s="119"/>
      <c r="I1" s="120"/>
      <c r="J1" s="254" t="str">
        <f>"True-Up ARR
(CY"&amp;R1&amp;")"</f>
        <v>True-Up ARR
(CY2021)</v>
      </c>
      <c r="K1" s="251" t="str">
        <f>"Projected ARR
(Jan'"&amp;RIGHT(R$1,2)&amp;" - Dec'"&amp;RIGHT(R$1,2)&amp;")"</f>
        <v>Projected ARR
(Jan'21 - Dec'21)</v>
      </c>
      <c r="L1" s="121" t="s">
        <v>47</v>
      </c>
      <c r="M1" s="122"/>
      <c r="N1" s="52"/>
      <c r="O1" s="52"/>
      <c r="P1" s="52"/>
      <c r="Q1" s="52"/>
      <c r="R1" s="123">
        <v>2021</v>
      </c>
    </row>
    <row r="2" spans="2:18" x14ac:dyDescent="0.2">
      <c r="B2" s="10" t="s">
        <v>54</v>
      </c>
      <c r="C2" s="115"/>
      <c r="D2" s="116"/>
      <c r="E2" s="115"/>
      <c r="F2" s="124">
        <v>9</v>
      </c>
      <c r="G2" s="257"/>
      <c r="H2" s="257"/>
      <c r="I2" s="126" t="s">
        <v>6</v>
      </c>
      <c r="J2" s="248">
        <v>115618016.17023915</v>
      </c>
      <c r="K2" s="248">
        <v>115693004.54846533</v>
      </c>
      <c r="L2" s="127"/>
      <c r="M2" s="128"/>
      <c r="N2" s="52"/>
      <c r="O2" s="52"/>
      <c r="P2" s="52"/>
      <c r="Q2" s="52"/>
      <c r="R2" s="1"/>
    </row>
    <row r="3" spans="2:18" x14ac:dyDescent="0.2">
      <c r="B3" s="10" t="str">
        <f>"for CY"&amp;R1&amp;" SPP Network Transmission Service"</f>
        <v>for CY2021 SPP Network Transmission Service</v>
      </c>
      <c r="C3" s="115"/>
      <c r="D3" s="116"/>
      <c r="E3" s="115"/>
      <c r="F3" s="124"/>
      <c r="G3" s="257"/>
      <c r="H3" s="257"/>
      <c r="I3" s="126" t="s">
        <v>10</v>
      </c>
      <c r="J3" s="249">
        <v>1176.0435370430484</v>
      </c>
      <c r="K3" s="249">
        <v>1177.4939874727397</v>
      </c>
      <c r="L3" s="129" t="str">
        <f>"Inv. Jan-Dec'"&amp;RIGHT(R1,2)</f>
        <v>Inv. Jan-Dec'21</v>
      </c>
      <c r="M3" s="128"/>
      <c r="N3" s="52"/>
      <c r="O3" s="52"/>
      <c r="P3" s="52"/>
      <c r="Q3" s="52"/>
      <c r="R3" s="1"/>
    </row>
    <row r="4" spans="2:18" x14ac:dyDescent="0.2">
      <c r="B4" s="9"/>
      <c r="C4" s="115"/>
      <c r="D4" s="116"/>
      <c r="E4" s="115"/>
      <c r="F4" s="124"/>
      <c r="G4" s="125"/>
      <c r="H4" s="125"/>
      <c r="I4" s="51"/>
      <c r="J4" s="125"/>
      <c r="K4" s="130"/>
      <c r="L4" s="125"/>
      <c r="M4" s="131"/>
      <c r="R4" s="1"/>
    </row>
    <row r="5" spans="2:18" x14ac:dyDescent="0.2">
      <c r="B5" s="9"/>
      <c r="C5" s="115"/>
      <c r="D5" s="116"/>
      <c r="E5" s="115"/>
      <c r="F5" s="124"/>
      <c r="G5" s="125"/>
      <c r="H5" s="125"/>
      <c r="I5" s="126"/>
      <c r="J5" s="125"/>
      <c r="K5" s="248">
        <v>0</v>
      </c>
      <c r="L5" s="127"/>
      <c r="M5" s="132"/>
      <c r="N5" s="133"/>
      <c r="O5" s="133"/>
      <c r="P5" s="133"/>
      <c r="Q5" s="133"/>
      <c r="R5" s="134"/>
    </row>
    <row r="6" spans="2:18" x14ac:dyDescent="0.2">
      <c r="B6" s="10" t="s">
        <v>23</v>
      </c>
      <c r="D6" s="116"/>
      <c r="E6" s="115"/>
      <c r="F6" s="135"/>
      <c r="G6" s="136"/>
      <c r="H6" s="137"/>
      <c r="I6" s="138"/>
      <c r="J6" s="139"/>
      <c r="K6" s="249">
        <v>0</v>
      </c>
      <c r="L6" s="236"/>
      <c r="M6" s="132"/>
      <c r="N6" s="133"/>
      <c r="O6" s="133"/>
      <c r="P6" s="133"/>
      <c r="Q6" s="133"/>
      <c r="R6" s="1"/>
    </row>
    <row r="7" spans="2:18" x14ac:dyDescent="0.2">
      <c r="B7" s="9" t="s">
        <v>79</v>
      </c>
      <c r="D7" s="116"/>
      <c r="E7" s="115"/>
      <c r="F7" s="124"/>
      <c r="G7" s="258"/>
      <c r="H7" s="257"/>
      <c r="I7" s="126"/>
      <c r="J7" s="140"/>
      <c r="K7" s="127"/>
      <c r="L7" s="127"/>
      <c r="M7" s="141"/>
      <c r="N7" s="142"/>
      <c r="O7" s="142"/>
      <c r="P7" s="142"/>
      <c r="Q7" s="142"/>
      <c r="R7" s="1"/>
    </row>
    <row r="8" spans="2:18" x14ac:dyDescent="0.2">
      <c r="B8" s="10"/>
      <c r="C8" s="115"/>
      <c r="D8" s="116"/>
      <c r="E8" s="115"/>
      <c r="F8" s="124"/>
      <c r="G8" s="257"/>
      <c r="H8" s="257"/>
      <c r="I8" s="126"/>
      <c r="J8" s="143"/>
      <c r="K8" s="127"/>
      <c r="L8" s="144"/>
      <c r="M8" s="128"/>
      <c r="N8" s="52"/>
      <c r="O8" s="52"/>
      <c r="P8" s="52"/>
      <c r="Q8" s="52"/>
      <c r="R8" s="134"/>
    </row>
    <row r="9" spans="2:18" x14ac:dyDescent="0.2">
      <c r="B9" s="145"/>
      <c r="C9" s="115"/>
      <c r="D9" s="116"/>
      <c r="E9" s="115"/>
      <c r="F9" s="124"/>
      <c r="G9" s="125"/>
      <c r="H9" s="125"/>
      <c r="I9" s="146"/>
      <c r="J9" s="147"/>
      <c r="K9" s="148"/>
      <c r="L9" s="149"/>
      <c r="M9" s="128"/>
      <c r="N9" s="52"/>
      <c r="O9" s="52"/>
      <c r="P9" s="52"/>
      <c r="Q9" s="52"/>
      <c r="R9" s="134"/>
    </row>
    <row r="10" spans="2:18" ht="13.5" thickBot="1" x14ac:dyDescent="0.25">
      <c r="B10" s="9"/>
      <c r="D10" s="1"/>
      <c r="E10" s="150"/>
      <c r="F10" s="151"/>
      <c r="G10" s="152"/>
      <c r="H10" s="153"/>
      <c r="I10" s="154"/>
      <c r="J10" s="155"/>
      <c r="K10" s="155"/>
      <c r="L10" s="156"/>
      <c r="M10" s="157"/>
      <c r="R10" s="158"/>
    </row>
    <row r="11" spans="2:18" x14ac:dyDescent="0.2">
      <c r="B11" s="159" t="s">
        <v>84</v>
      </c>
      <c r="E11" s="150"/>
      <c r="L11" s="163"/>
      <c r="M11" s="1"/>
      <c r="N11" s="1"/>
      <c r="O11" s="1"/>
      <c r="P11" s="1"/>
      <c r="Q11" s="1"/>
      <c r="R11" s="134"/>
    </row>
    <row r="12" spans="2:18" x14ac:dyDescent="0.2">
      <c r="E12" s="150"/>
      <c r="L12" s="163"/>
      <c r="R12" s="164" t="s">
        <v>62</v>
      </c>
    </row>
    <row r="13" spans="2:18" x14ac:dyDescent="0.2">
      <c r="E13" s="150"/>
      <c r="F13" s="165"/>
      <c r="G13" s="166"/>
      <c r="H13" s="166"/>
      <c r="I13" s="167" t="s">
        <v>60</v>
      </c>
      <c r="J13" s="168">
        <f t="shared" ref="J13:R13" si="0">SUM(J56:J211)</f>
        <v>30086721.808172248</v>
      </c>
      <c r="K13" s="168">
        <f t="shared" si="0"/>
        <v>30123828.681515109</v>
      </c>
      <c r="L13" s="169">
        <f t="shared" si="0"/>
        <v>-37106.873342791936</v>
      </c>
      <c r="M13" s="170">
        <f t="shared" si="0"/>
        <v>-1155.1649313718299</v>
      </c>
      <c r="N13" s="168">
        <f t="shared" si="0"/>
        <v>-38262.038274163773</v>
      </c>
      <c r="O13" s="168">
        <f>SUM(O56:O211)</f>
        <v>0</v>
      </c>
      <c r="P13" s="168">
        <f t="shared" si="0"/>
        <v>0</v>
      </c>
      <c r="Q13" s="168">
        <v>0</v>
      </c>
      <c r="R13" s="169">
        <f t="shared" si="0"/>
        <v>-38262.038274163773</v>
      </c>
    </row>
    <row r="14" spans="2:18" x14ac:dyDescent="0.2">
      <c r="E14" s="150"/>
      <c r="F14" s="171"/>
      <c r="G14" s="171"/>
      <c r="H14" s="171"/>
      <c r="I14" s="172" t="s">
        <v>61</v>
      </c>
      <c r="J14" s="168">
        <f>SUM(J20:J211)</f>
        <v>115618016.17023954</v>
      </c>
      <c r="K14" s="168">
        <f>SUM(K20:K211)</f>
        <v>115760611.40243267</v>
      </c>
      <c r="L14" s="169">
        <f>SUM(L20:L211)</f>
        <v>-142595.23219337891</v>
      </c>
      <c r="M14" s="250">
        <v>-4439.0970397567144</v>
      </c>
      <c r="N14" s="168">
        <f>SUM(N20:N211)</f>
        <v>-147034.3292331358</v>
      </c>
      <c r="O14" s="168">
        <f>SUM(O20:O211)</f>
        <v>0</v>
      </c>
      <c r="P14" s="168">
        <f>SUM(P20:P211)</f>
        <v>0</v>
      </c>
      <c r="Q14" s="168">
        <v>0</v>
      </c>
      <c r="R14" s="169">
        <f>SUM(R20:R211)</f>
        <v>-147034.3292331358</v>
      </c>
    </row>
    <row r="15" spans="2:18" x14ac:dyDescent="0.2">
      <c r="B15" s="173" t="s">
        <v>86</v>
      </c>
      <c r="E15" s="150"/>
      <c r="J15" s="161"/>
      <c r="L15" s="163"/>
      <c r="M15" s="255"/>
      <c r="N15" s="174"/>
      <c r="O15" s="174"/>
      <c r="P15" s="174"/>
      <c r="Q15" s="174"/>
      <c r="R15" s="175" t="s">
        <v>20</v>
      </c>
    </row>
    <row r="16" spans="2:18" x14ac:dyDescent="0.2">
      <c r="B16" s="176" t="str">
        <f>"** Actual Trued-Up CY"&amp;R1&amp;" Charge reflects "&amp;R1&amp;" True-UP Rate x MW"</f>
        <v>** Actual Trued-Up CY2021 Charge reflects 2021 True-UP Rate x MW</v>
      </c>
      <c r="E16" s="150"/>
      <c r="F16" s="125"/>
      <c r="G16" s="5"/>
      <c r="J16" s="177"/>
      <c r="L16" s="178" t="s">
        <v>11</v>
      </c>
      <c r="M16" s="174"/>
      <c r="N16" s="174"/>
      <c r="O16" s="174"/>
      <c r="P16" s="174"/>
      <c r="Q16" s="174"/>
      <c r="R16" s="179"/>
    </row>
    <row r="17" spans="1:18" x14ac:dyDescent="0.2">
      <c r="B17" s="180" t="s">
        <v>64</v>
      </c>
      <c r="E17" s="150"/>
      <c r="I17" s="181"/>
      <c r="J17" s="182"/>
      <c r="K17" s="183"/>
      <c r="L17" s="183"/>
      <c r="M17" s="183"/>
      <c r="N17" s="183"/>
      <c r="O17" s="183"/>
      <c r="P17" s="183"/>
      <c r="Q17" s="183"/>
      <c r="R17" s="184"/>
    </row>
    <row r="18" spans="1:18" ht="3.6" customHeight="1" x14ac:dyDescent="0.2">
      <c r="I18" s="185"/>
      <c r="J18" s="182"/>
      <c r="K18" s="185"/>
      <c r="L18" s="185"/>
      <c r="M18" s="186"/>
      <c r="N18" s="186"/>
      <c r="O18" s="186"/>
      <c r="P18" s="186"/>
      <c r="Q18" s="186"/>
      <c r="R18" s="187"/>
    </row>
    <row r="19" spans="1:18" ht="38.25" customHeight="1" x14ac:dyDescent="0.2">
      <c r="B19" s="188" t="s">
        <v>55</v>
      </c>
      <c r="C19" s="253" t="s">
        <v>4</v>
      </c>
      <c r="D19" s="253" t="s">
        <v>5</v>
      </c>
      <c r="E19" s="189" t="s">
        <v>0</v>
      </c>
      <c r="F19" s="190" t="s">
        <v>12</v>
      </c>
      <c r="G19" s="252" t="s">
        <v>1</v>
      </c>
      <c r="H19" s="191" t="s">
        <v>50</v>
      </c>
      <c r="I19" s="191" t="s">
        <v>48</v>
      </c>
      <c r="J19" s="192" t="str">
        <f>"True-Up Charge"</f>
        <v>True-Up Charge</v>
      </c>
      <c r="K19" s="192" t="s">
        <v>49</v>
      </c>
      <c r="L19" s="193" t="s">
        <v>3</v>
      </c>
      <c r="M19" s="194" t="s">
        <v>7</v>
      </c>
      <c r="N19" s="195" t="s">
        <v>103</v>
      </c>
      <c r="O19" s="195" t="s">
        <v>88</v>
      </c>
      <c r="P19" s="195" t="s">
        <v>89</v>
      </c>
      <c r="Q19" s="195" t="s">
        <v>90</v>
      </c>
      <c r="R19" s="196" t="s">
        <v>2</v>
      </c>
    </row>
    <row r="20" spans="1:18" s="52" customFormat="1" ht="12.75" customHeight="1" x14ac:dyDescent="0.2">
      <c r="A20" s="125">
        <v>1</v>
      </c>
      <c r="B20" s="197">
        <f>DATE($R$1,A20,1)</f>
        <v>44197</v>
      </c>
      <c r="C20" s="198">
        <v>44230</v>
      </c>
      <c r="D20" s="198">
        <v>44251</v>
      </c>
      <c r="E20" s="199" t="s">
        <v>21</v>
      </c>
      <c r="F20" s="125">
        <v>9</v>
      </c>
      <c r="G20" s="200">
        <v>2536</v>
      </c>
      <c r="H20" s="201">
        <f>+$K$3</f>
        <v>1177.4939874727397</v>
      </c>
      <c r="I20" s="201">
        <f t="shared" ref="I20:I63" si="1">$J$3</f>
        <v>1176.0435370430484</v>
      </c>
      <c r="J20" s="202">
        <f t="shared" ref="J20:J108" si="2">+$G20*I20</f>
        <v>2982446.4099411708</v>
      </c>
      <c r="K20" s="203">
        <f>+$G20*H20</f>
        <v>2986124.7522308677</v>
      </c>
      <c r="L20" s="204">
        <f t="shared" ref="L20:L34" si="3">+J20-K20</f>
        <v>-3678.3422896969132</v>
      </c>
      <c r="M20" s="205">
        <f>G20/$G$212*$M$14</f>
        <v>-114.50956752370567</v>
      </c>
      <c r="N20" s="206">
        <f>SUM(L20:M20)</f>
        <v>-3792.851857220619</v>
      </c>
      <c r="O20" s="205">
        <f>+$P$3</f>
        <v>0</v>
      </c>
      <c r="P20" s="205">
        <f>+G20*O20</f>
        <v>0</v>
      </c>
      <c r="Q20" s="205">
        <v>0</v>
      </c>
      <c r="R20" s="206">
        <f>+N20-Q20</f>
        <v>-3792.851857220619</v>
      </c>
    </row>
    <row r="21" spans="1:18" x14ac:dyDescent="0.2">
      <c r="A21" s="160">
        <v>2</v>
      </c>
      <c r="B21" s="197">
        <f t="shared" ref="B21:B108" si="4">DATE($R$1,A21,1)</f>
        <v>44228</v>
      </c>
      <c r="C21" s="198">
        <v>44258</v>
      </c>
      <c r="D21" s="198">
        <v>44279</v>
      </c>
      <c r="E21" s="207" t="s">
        <v>21</v>
      </c>
      <c r="F21" s="160">
        <v>9</v>
      </c>
      <c r="G21" s="200">
        <v>2976</v>
      </c>
      <c r="H21" s="201">
        <f t="shared" ref="H21:H84" si="5">+$K$3</f>
        <v>1177.4939874727397</v>
      </c>
      <c r="I21" s="201">
        <f t="shared" si="1"/>
        <v>1176.0435370430484</v>
      </c>
      <c r="J21" s="202">
        <f t="shared" si="2"/>
        <v>3499905.5662401123</v>
      </c>
      <c r="K21" s="203">
        <f t="shared" ref="K21:K33" si="6">+$G21*H21</f>
        <v>3504222.1067188736</v>
      </c>
      <c r="L21" s="204">
        <f t="shared" si="3"/>
        <v>-4316.5404787613079</v>
      </c>
      <c r="M21" s="205">
        <f t="shared" ref="M21:M84" si="7">G21/$G$212*$M$14</f>
        <v>-134.37715810352842</v>
      </c>
      <c r="N21" s="206">
        <f t="shared" ref="N21:N84" si="8">SUM(L21:M21)</f>
        <v>-4450.9176368648359</v>
      </c>
      <c r="O21" s="205">
        <f t="shared" ref="O21:O84" si="9">+$P$3</f>
        <v>0</v>
      </c>
      <c r="P21" s="205">
        <f t="shared" ref="P21:P84" si="10">+G21*O21</f>
        <v>0</v>
      </c>
      <c r="Q21" s="205">
        <v>0</v>
      </c>
      <c r="R21" s="206">
        <f t="shared" ref="R21:R84" si="11">+N21-Q21</f>
        <v>-4450.9176368648359</v>
      </c>
    </row>
    <row r="22" spans="1:18" x14ac:dyDescent="0.2">
      <c r="A22" s="160">
        <v>3</v>
      </c>
      <c r="B22" s="197">
        <f t="shared" si="4"/>
        <v>44256</v>
      </c>
      <c r="C22" s="198">
        <v>44291</v>
      </c>
      <c r="D22" s="198">
        <v>44312</v>
      </c>
      <c r="E22" s="207" t="s">
        <v>21</v>
      </c>
      <c r="F22" s="160">
        <v>9</v>
      </c>
      <c r="G22" s="200">
        <v>2203</v>
      </c>
      <c r="H22" s="201">
        <f t="shared" si="5"/>
        <v>1177.4939874727397</v>
      </c>
      <c r="I22" s="201">
        <f t="shared" si="1"/>
        <v>1176.0435370430484</v>
      </c>
      <c r="J22" s="202">
        <f t="shared" si="2"/>
        <v>2590823.9121058355</v>
      </c>
      <c r="K22" s="203">
        <f t="shared" si="6"/>
        <v>2594019.2544024456</v>
      </c>
      <c r="L22" s="204">
        <f t="shared" si="3"/>
        <v>-3195.3422966101207</v>
      </c>
      <c r="M22" s="205">
        <f t="shared" si="7"/>
        <v>-99.473413743976181</v>
      </c>
      <c r="N22" s="206">
        <f t="shared" si="8"/>
        <v>-3294.8157103540971</v>
      </c>
      <c r="O22" s="205">
        <f t="shared" si="9"/>
        <v>0</v>
      </c>
      <c r="P22" s="205">
        <f t="shared" si="10"/>
        <v>0</v>
      </c>
      <c r="Q22" s="205">
        <v>0</v>
      </c>
      <c r="R22" s="206">
        <f t="shared" si="11"/>
        <v>-3294.8157103540971</v>
      </c>
    </row>
    <row r="23" spans="1:18" x14ac:dyDescent="0.2">
      <c r="A23" s="125">
        <v>4</v>
      </c>
      <c r="B23" s="197">
        <f t="shared" si="4"/>
        <v>44287</v>
      </c>
      <c r="C23" s="198">
        <v>44321</v>
      </c>
      <c r="D23" s="198">
        <v>44340</v>
      </c>
      <c r="E23" s="207" t="s">
        <v>21</v>
      </c>
      <c r="F23" s="160">
        <v>9</v>
      </c>
      <c r="G23" s="200">
        <v>2146</v>
      </c>
      <c r="H23" s="201">
        <f t="shared" si="5"/>
        <v>1177.4939874727397</v>
      </c>
      <c r="I23" s="201">
        <f t="shared" si="1"/>
        <v>1176.0435370430484</v>
      </c>
      <c r="J23" s="202">
        <f t="shared" si="2"/>
        <v>2523789.430494382</v>
      </c>
      <c r="K23" s="203">
        <f t="shared" si="6"/>
        <v>2526902.0971164992</v>
      </c>
      <c r="L23" s="204">
        <f t="shared" si="3"/>
        <v>-3112.6666221171618</v>
      </c>
      <c r="M23" s="205">
        <f t="shared" si="7"/>
        <v>-96.89965769159005</v>
      </c>
      <c r="N23" s="206">
        <f t="shared" si="8"/>
        <v>-3209.5662798087519</v>
      </c>
      <c r="O23" s="205">
        <f t="shared" si="9"/>
        <v>0</v>
      </c>
      <c r="P23" s="205">
        <f t="shared" si="10"/>
        <v>0</v>
      </c>
      <c r="Q23" s="205">
        <v>0</v>
      </c>
      <c r="R23" s="206">
        <f t="shared" si="11"/>
        <v>-3209.5662798087519</v>
      </c>
    </row>
    <row r="24" spans="1:18" ht="12" customHeight="1" x14ac:dyDescent="0.2">
      <c r="A24" s="160">
        <v>5</v>
      </c>
      <c r="B24" s="197">
        <f t="shared" si="4"/>
        <v>44317</v>
      </c>
      <c r="C24" s="198">
        <v>44350</v>
      </c>
      <c r="D24" s="198">
        <v>44371</v>
      </c>
      <c r="E24" s="54" t="s">
        <v>21</v>
      </c>
      <c r="F24" s="160">
        <v>9</v>
      </c>
      <c r="G24" s="200">
        <v>2961</v>
      </c>
      <c r="H24" s="201">
        <f t="shared" si="5"/>
        <v>1177.4939874727397</v>
      </c>
      <c r="I24" s="201">
        <f t="shared" si="1"/>
        <v>1176.0435370430484</v>
      </c>
      <c r="J24" s="202">
        <f t="shared" si="2"/>
        <v>3482264.9131844663</v>
      </c>
      <c r="K24" s="203">
        <f t="shared" si="6"/>
        <v>3486559.6969067822</v>
      </c>
      <c r="L24" s="204">
        <f t="shared" si="3"/>
        <v>-4294.7837223159149</v>
      </c>
      <c r="M24" s="205">
        <f t="shared" si="7"/>
        <v>-133.69985387921628</v>
      </c>
      <c r="N24" s="206">
        <f t="shared" si="8"/>
        <v>-4428.4835761951308</v>
      </c>
      <c r="O24" s="205">
        <f t="shared" si="9"/>
        <v>0</v>
      </c>
      <c r="P24" s="205">
        <f t="shared" si="10"/>
        <v>0</v>
      </c>
      <c r="Q24" s="205">
        <v>0</v>
      </c>
      <c r="R24" s="206">
        <f t="shared" si="11"/>
        <v>-4428.4835761951308</v>
      </c>
    </row>
    <row r="25" spans="1:18" x14ac:dyDescent="0.2">
      <c r="A25" s="160">
        <v>6</v>
      </c>
      <c r="B25" s="197">
        <f t="shared" si="4"/>
        <v>44348</v>
      </c>
      <c r="C25" s="198">
        <v>44383</v>
      </c>
      <c r="D25" s="198">
        <v>44401</v>
      </c>
      <c r="E25" s="54" t="s">
        <v>21</v>
      </c>
      <c r="F25" s="160">
        <v>9</v>
      </c>
      <c r="G25" s="200">
        <v>3827</v>
      </c>
      <c r="H25" s="201">
        <f t="shared" si="5"/>
        <v>1177.4939874727397</v>
      </c>
      <c r="I25" s="201">
        <f t="shared" si="1"/>
        <v>1176.0435370430484</v>
      </c>
      <c r="J25" s="202">
        <f t="shared" si="2"/>
        <v>4500718.6162637463</v>
      </c>
      <c r="K25" s="203">
        <f t="shared" si="6"/>
        <v>4506269.4900581753</v>
      </c>
      <c r="L25" s="208">
        <f t="shared" si="3"/>
        <v>-5550.8737944290042</v>
      </c>
      <c r="M25" s="205">
        <f t="shared" si="7"/>
        <v>-172.80288442950376</v>
      </c>
      <c r="N25" s="206">
        <f t="shared" si="8"/>
        <v>-5723.6766788585082</v>
      </c>
      <c r="O25" s="205">
        <f t="shared" si="9"/>
        <v>0</v>
      </c>
      <c r="P25" s="205">
        <f t="shared" si="10"/>
        <v>0</v>
      </c>
      <c r="Q25" s="205">
        <v>0</v>
      </c>
      <c r="R25" s="206">
        <f t="shared" si="11"/>
        <v>-5723.6766788585082</v>
      </c>
    </row>
    <row r="26" spans="1:18" x14ac:dyDescent="0.2">
      <c r="A26" s="125">
        <v>7</v>
      </c>
      <c r="B26" s="197">
        <f t="shared" si="4"/>
        <v>44378</v>
      </c>
      <c r="C26" s="198">
        <v>44412</v>
      </c>
      <c r="D26" s="198">
        <v>44432</v>
      </c>
      <c r="E26" s="54" t="s">
        <v>21</v>
      </c>
      <c r="F26" s="160">
        <v>9</v>
      </c>
      <c r="G26" s="200">
        <v>3938</v>
      </c>
      <c r="H26" s="201">
        <f t="shared" si="5"/>
        <v>1177.4939874727397</v>
      </c>
      <c r="I26" s="201">
        <f t="shared" si="1"/>
        <v>1176.0435370430484</v>
      </c>
      <c r="J26" s="202">
        <f t="shared" si="2"/>
        <v>4631259.448875525</v>
      </c>
      <c r="K26" s="209">
        <f t="shared" si="6"/>
        <v>4636971.322667649</v>
      </c>
      <c r="L26" s="208">
        <f t="shared" si="3"/>
        <v>-5711.8737921239808</v>
      </c>
      <c r="M26" s="205">
        <f t="shared" si="7"/>
        <v>-177.8149356894136</v>
      </c>
      <c r="N26" s="206">
        <f t="shared" si="8"/>
        <v>-5889.6887278133945</v>
      </c>
      <c r="O26" s="205">
        <f t="shared" si="9"/>
        <v>0</v>
      </c>
      <c r="P26" s="205">
        <f t="shared" si="10"/>
        <v>0</v>
      </c>
      <c r="Q26" s="205">
        <v>0</v>
      </c>
      <c r="R26" s="206">
        <f t="shared" si="11"/>
        <v>-5889.6887278133945</v>
      </c>
    </row>
    <row r="27" spans="1:18" x14ac:dyDescent="0.2">
      <c r="A27" s="160">
        <v>8</v>
      </c>
      <c r="B27" s="197">
        <f t="shared" si="4"/>
        <v>44409</v>
      </c>
      <c r="C27" s="198">
        <v>44442</v>
      </c>
      <c r="D27" s="198">
        <v>44463</v>
      </c>
      <c r="E27" s="54" t="s">
        <v>21</v>
      </c>
      <c r="F27" s="160">
        <v>9</v>
      </c>
      <c r="G27" s="200">
        <v>4002</v>
      </c>
      <c r="H27" s="201">
        <f t="shared" si="5"/>
        <v>1177.4939874727397</v>
      </c>
      <c r="I27" s="201">
        <f t="shared" si="1"/>
        <v>1176.0435370430484</v>
      </c>
      <c r="J27" s="202">
        <f t="shared" si="2"/>
        <v>4706526.2352462802</v>
      </c>
      <c r="K27" s="209">
        <f t="shared" si="6"/>
        <v>4712330.9378659045</v>
      </c>
      <c r="L27" s="208">
        <f t="shared" si="3"/>
        <v>-5804.7026196243241</v>
      </c>
      <c r="M27" s="205">
        <f t="shared" si="7"/>
        <v>-180.70476704647874</v>
      </c>
      <c r="N27" s="206">
        <f t="shared" si="8"/>
        <v>-5985.4073866708031</v>
      </c>
      <c r="O27" s="205">
        <f t="shared" si="9"/>
        <v>0</v>
      </c>
      <c r="P27" s="205">
        <f t="shared" si="10"/>
        <v>0</v>
      </c>
      <c r="Q27" s="205">
        <v>0</v>
      </c>
      <c r="R27" s="206">
        <f t="shared" si="11"/>
        <v>-5985.4073866708031</v>
      </c>
    </row>
    <row r="28" spans="1:18" x14ac:dyDescent="0.2">
      <c r="A28" s="160">
        <v>9</v>
      </c>
      <c r="B28" s="197">
        <f t="shared" si="4"/>
        <v>44440</v>
      </c>
      <c r="C28" s="198">
        <v>44474</v>
      </c>
      <c r="D28" s="198">
        <v>44494</v>
      </c>
      <c r="E28" s="54" t="s">
        <v>21</v>
      </c>
      <c r="F28" s="160">
        <v>9</v>
      </c>
      <c r="G28" s="200">
        <v>4029</v>
      </c>
      <c r="H28" s="201">
        <f t="shared" si="5"/>
        <v>1177.4939874727397</v>
      </c>
      <c r="I28" s="201">
        <f t="shared" si="1"/>
        <v>1176.0435370430484</v>
      </c>
      <c r="J28" s="202">
        <f t="shared" si="2"/>
        <v>4738279.4107464422</v>
      </c>
      <c r="K28" s="209">
        <f t="shared" si="6"/>
        <v>4744123.2755276682</v>
      </c>
      <c r="L28" s="208">
        <f t="shared" si="3"/>
        <v>-5843.8647812260315</v>
      </c>
      <c r="M28" s="205">
        <f t="shared" si="7"/>
        <v>-181.92391465024059</v>
      </c>
      <c r="N28" s="206">
        <f t="shared" si="8"/>
        <v>-6025.788695876272</v>
      </c>
      <c r="O28" s="205">
        <f t="shared" si="9"/>
        <v>0</v>
      </c>
      <c r="P28" s="205">
        <f t="shared" si="10"/>
        <v>0</v>
      </c>
      <c r="Q28" s="205">
        <v>0</v>
      </c>
      <c r="R28" s="206">
        <f t="shared" si="11"/>
        <v>-6025.788695876272</v>
      </c>
    </row>
    <row r="29" spans="1:18" x14ac:dyDescent="0.2">
      <c r="A29" s="125">
        <v>10</v>
      </c>
      <c r="B29" s="197">
        <f t="shared" si="4"/>
        <v>44470</v>
      </c>
      <c r="C29" s="198">
        <v>44503</v>
      </c>
      <c r="D29" s="198">
        <v>44524</v>
      </c>
      <c r="E29" s="54" t="s">
        <v>21</v>
      </c>
      <c r="F29" s="160">
        <v>9</v>
      </c>
      <c r="G29" s="200">
        <v>3123</v>
      </c>
      <c r="H29" s="201">
        <f t="shared" si="5"/>
        <v>1177.4939874727397</v>
      </c>
      <c r="I29" s="201">
        <f t="shared" si="1"/>
        <v>1176.0435370430484</v>
      </c>
      <c r="J29" s="202">
        <f t="shared" si="2"/>
        <v>3672783.9661854403</v>
      </c>
      <c r="K29" s="209">
        <f t="shared" si="6"/>
        <v>3677313.722877366</v>
      </c>
      <c r="L29" s="208">
        <f t="shared" si="3"/>
        <v>-4529.7566919256933</v>
      </c>
      <c r="M29" s="205">
        <f t="shared" si="7"/>
        <v>-141.01473950178737</v>
      </c>
      <c r="N29" s="206">
        <f t="shared" si="8"/>
        <v>-4670.7714314274808</v>
      </c>
      <c r="O29" s="205">
        <f t="shared" si="9"/>
        <v>0</v>
      </c>
      <c r="P29" s="205">
        <f t="shared" si="10"/>
        <v>0</v>
      </c>
      <c r="Q29" s="205">
        <v>0</v>
      </c>
      <c r="R29" s="206">
        <f t="shared" si="11"/>
        <v>-4670.7714314274808</v>
      </c>
    </row>
    <row r="30" spans="1:18" x14ac:dyDescent="0.2">
      <c r="A30" s="160">
        <v>11</v>
      </c>
      <c r="B30" s="197">
        <f t="shared" si="4"/>
        <v>44501</v>
      </c>
      <c r="C30" s="198">
        <v>44533</v>
      </c>
      <c r="D30" s="198">
        <v>44557</v>
      </c>
      <c r="E30" s="54" t="s">
        <v>21</v>
      </c>
      <c r="F30" s="160">
        <v>9</v>
      </c>
      <c r="G30" s="200">
        <v>2263</v>
      </c>
      <c r="H30" s="201">
        <f t="shared" si="5"/>
        <v>1177.4939874727397</v>
      </c>
      <c r="I30" s="201">
        <f t="shared" si="1"/>
        <v>1176.0435370430484</v>
      </c>
      <c r="J30" s="202">
        <f t="shared" si="2"/>
        <v>2661386.5243284185</v>
      </c>
      <c r="K30" s="209">
        <f t="shared" si="6"/>
        <v>2664668.8936508098</v>
      </c>
      <c r="L30" s="208">
        <f t="shared" si="3"/>
        <v>-3282.3693223912269</v>
      </c>
      <c r="M30" s="205">
        <f t="shared" si="7"/>
        <v>-102.18263064122473</v>
      </c>
      <c r="N30" s="206">
        <f t="shared" si="8"/>
        <v>-3384.5519530324518</v>
      </c>
      <c r="O30" s="205">
        <f t="shared" si="9"/>
        <v>0</v>
      </c>
      <c r="P30" s="205">
        <f t="shared" si="10"/>
        <v>0</v>
      </c>
      <c r="Q30" s="205">
        <v>0</v>
      </c>
      <c r="R30" s="206">
        <f t="shared" si="11"/>
        <v>-3384.5519530324518</v>
      </c>
    </row>
    <row r="31" spans="1:18" x14ac:dyDescent="0.2">
      <c r="A31" s="160">
        <v>12</v>
      </c>
      <c r="B31" s="197">
        <f t="shared" si="4"/>
        <v>44531</v>
      </c>
      <c r="C31" s="210">
        <v>44566</v>
      </c>
      <c r="D31" s="211">
        <v>44585</v>
      </c>
      <c r="E31" s="54" t="s">
        <v>21</v>
      </c>
      <c r="F31" s="160">
        <v>9</v>
      </c>
      <c r="G31" s="200">
        <v>2379</v>
      </c>
      <c r="H31" s="212">
        <f t="shared" si="5"/>
        <v>1177.4939874727397</v>
      </c>
      <c r="I31" s="212">
        <f t="shared" si="1"/>
        <v>1176.0435370430484</v>
      </c>
      <c r="J31" s="213">
        <f t="shared" si="2"/>
        <v>2797807.5746254125</v>
      </c>
      <c r="K31" s="214">
        <f t="shared" si="6"/>
        <v>2801258.1961976476</v>
      </c>
      <c r="L31" s="215">
        <f t="shared" si="3"/>
        <v>-3450.6215722351335</v>
      </c>
      <c r="M31" s="205">
        <f t="shared" si="7"/>
        <v>-107.42044997590527</v>
      </c>
      <c r="N31" s="206">
        <f t="shared" si="8"/>
        <v>-3558.0420222110388</v>
      </c>
      <c r="O31" s="205">
        <f t="shared" si="9"/>
        <v>0</v>
      </c>
      <c r="P31" s="205">
        <f t="shared" si="10"/>
        <v>0</v>
      </c>
      <c r="Q31" s="205">
        <v>0</v>
      </c>
      <c r="R31" s="206">
        <f t="shared" si="11"/>
        <v>-3558.0420222110388</v>
      </c>
    </row>
    <row r="32" spans="1:18" x14ac:dyDescent="0.2">
      <c r="A32" s="125">
        <v>1</v>
      </c>
      <c r="B32" s="216">
        <f t="shared" si="4"/>
        <v>44197</v>
      </c>
      <c r="C32" s="217">
        <f t="shared" ref="C32:D43" si="12">+C20</f>
        <v>44230</v>
      </c>
      <c r="D32" s="217">
        <f t="shared" si="12"/>
        <v>44251</v>
      </c>
      <c r="E32" s="218" t="s">
        <v>22</v>
      </c>
      <c r="F32" s="219">
        <v>9</v>
      </c>
      <c r="G32" s="200">
        <v>2771</v>
      </c>
      <c r="H32" s="201">
        <f t="shared" si="5"/>
        <v>1177.4939874727397</v>
      </c>
      <c r="I32" s="201">
        <f t="shared" si="1"/>
        <v>1176.0435370430484</v>
      </c>
      <c r="J32" s="202">
        <f t="shared" si="2"/>
        <v>3258816.6411462873</v>
      </c>
      <c r="K32" s="203">
        <f t="shared" si="6"/>
        <v>3262835.8392869616</v>
      </c>
      <c r="L32" s="204">
        <f t="shared" si="3"/>
        <v>-4019.1981406742707</v>
      </c>
      <c r="M32" s="205">
        <f t="shared" si="7"/>
        <v>-125.12066703792918</v>
      </c>
      <c r="N32" s="206">
        <f t="shared" si="8"/>
        <v>-4144.3188077121995</v>
      </c>
      <c r="O32" s="205">
        <f t="shared" si="9"/>
        <v>0</v>
      </c>
      <c r="P32" s="205">
        <f t="shared" si="10"/>
        <v>0</v>
      </c>
      <c r="Q32" s="205">
        <v>0</v>
      </c>
      <c r="R32" s="206">
        <f t="shared" si="11"/>
        <v>-4144.3188077121995</v>
      </c>
    </row>
    <row r="33" spans="1:18" x14ac:dyDescent="0.2">
      <c r="A33" s="160">
        <v>2</v>
      </c>
      <c r="B33" s="197">
        <f t="shared" si="4"/>
        <v>44228</v>
      </c>
      <c r="C33" s="220">
        <f t="shared" si="12"/>
        <v>44258</v>
      </c>
      <c r="D33" s="220">
        <f t="shared" si="12"/>
        <v>44279</v>
      </c>
      <c r="E33" s="207" t="s">
        <v>22</v>
      </c>
      <c r="F33" s="160">
        <v>9</v>
      </c>
      <c r="G33" s="200">
        <v>3136</v>
      </c>
      <c r="H33" s="201">
        <f t="shared" si="5"/>
        <v>1177.4939874727397</v>
      </c>
      <c r="I33" s="201">
        <f t="shared" si="1"/>
        <v>1176.0435370430484</v>
      </c>
      <c r="J33" s="202">
        <f t="shared" si="2"/>
        <v>3688072.5321669998</v>
      </c>
      <c r="K33" s="203">
        <f t="shared" si="6"/>
        <v>3692621.1447145119</v>
      </c>
      <c r="L33" s="204">
        <f t="shared" si="3"/>
        <v>-4548.6125475121662</v>
      </c>
      <c r="M33" s="205">
        <f t="shared" si="7"/>
        <v>-141.60173649619125</v>
      </c>
      <c r="N33" s="206">
        <f t="shared" si="8"/>
        <v>-4690.214284008357</v>
      </c>
      <c r="O33" s="205">
        <f t="shared" si="9"/>
        <v>0</v>
      </c>
      <c r="P33" s="205">
        <f t="shared" si="10"/>
        <v>0</v>
      </c>
      <c r="Q33" s="205">
        <v>0</v>
      </c>
      <c r="R33" s="206">
        <f t="shared" si="11"/>
        <v>-4690.214284008357</v>
      </c>
    </row>
    <row r="34" spans="1:18" x14ac:dyDescent="0.2">
      <c r="A34" s="160">
        <v>3</v>
      </c>
      <c r="B34" s="197">
        <f t="shared" si="4"/>
        <v>44256</v>
      </c>
      <c r="C34" s="220">
        <f t="shared" si="12"/>
        <v>44291</v>
      </c>
      <c r="D34" s="220">
        <f t="shared" si="12"/>
        <v>44312</v>
      </c>
      <c r="E34" s="207" t="s">
        <v>22</v>
      </c>
      <c r="F34" s="160">
        <v>9</v>
      </c>
      <c r="G34" s="200">
        <v>2339</v>
      </c>
      <c r="H34" s="201">
        <f t="shared" si="5"/>
        <v>1177.4939874727397</v>
      </c>
      <c r="I34" s="201">
        <f t="shared" si="1"/>
        <v>1176.0435370430484</v>
      </c>
      <c r="J34" s="202">
        <f t="shared" si="2"/>
        <v>2750765.8331436901</v>
      </c>
      <c r="K34" s="203">
        <f t="shared" ref="K34:K93" si="13">+$G34*H34</f>
        <v>2754158.436698738</v>
      </c>
      <c r="L34" s="204">
        <f t="shared" si="3"/>
        <v>-3392.6035550478846</v>
      </c>
      <c r="M34" s="205">
        <f t="shared" si="7"/>
        <v>-105.61430537773957</v>
      </c>
      <c r="N34" s="206">
        <f t="shared" si="8"/>
        <v>-3498.2178604256242</v>
      </c>
      <c r="O34" s="205">
        <f t="shared" si="9"/>
        <v>0</v>
      </c>
      <c r="P34" s="205">
        <f t="shared" si="10"/>
        <v>0</v>
      </c>
      <c r="Q34" s="205">
        <v>0</v>
      </c>
      <c r="R34" s="206">
        <f t="shared" si="11"/>
        <v>-3498.2178604256242</v>
      </c>
    </row>
    <row r="35" spans="1:18" x14ac:dyDescent="0.2">
      <c r="A35" s="125">
        <v>4</v>
      </c>
      <c r="B35" s="197">
        <f t="shared" si="4"/>
        <v>44287</v>
      </c>
      <c r="C35" s="220">
        <f t="shared" si="12"/>
        <v>44321</v>
      </c>
      <c r="D35" s="220">
        <f t="shared" si="12"/>
        <v>44340</v>
      </c>
      <c r="E35" s="207" t="s">
        <v>22</v>
      </c>
      <c r="F35" s="160">
        <v>9</v>
      </c>
      <c r="G35" s="200">
        <v>2394</v>
      </c>
      <c r="H35" s="201">
        <f t="shared" si="5"/>
        <v>1177.4939874727397</v>
      </c>
      <c r="I35" s="201">
        <f t="shared" si="1"/>
        <v>1176.0435370430484</v>
      </c>
      <c r="J35" s="202">
        <f t="shared" si="2"/>
        <v>2815448.227681058</v>
      </c>
      <c r="K35" s="203">
        <f t="shared" si="13"/>
        <v>2818920.606009739</v>
      </c>
      <c r="L35" s="204">
        <f t="shared" ref="L35:L57" si="14">+J35-K35</f>
        <v>-3472.3783286809921</v>
      </c>
      <c r="M35" s="205">
        <f t="shared" si="7"/>
        <v>-108.09775420021741</v>
      </c>
      <c r="N35" s="206">
        <f t="shared" si="8"/>
        <v>-3580.4760828812095</v>
      </c>
      <c r="O35" s="205">
        <f t="shared" si="9"/>
        <v>0</v>
      </c>
      <c r="P35" s="205">
        <f t="shared" si="10"/>
        <v>0</v>
      </c>
      <c r="Q35" s="205">
        <v>0</v>
      </c>
      <c r="R35" s="206">
        <f t="shared" si="11"/>
        <v>-3580.4760828812095</v>
      </c>
    </row>
    <row r="36" spans="1:18" x14ac:dyDescent="0.2">
      <c r="A36" s="160">
        <v>5</v>
      </c>
      <c r="B36" s="197">
        <f t="shared" si="4"/>
        <v>44317</v>
      </c>
      <c r="C36" s="220">
        <f t="shared" si="12"/>
        <v>44350</v>
      </c>
      <c r="D36" s="220">
        <f t="shared" si="12"/>
        <v>44371</v>
      </c>
      <c r="E36" s="54" t="s">
        <v>22</v>
      </c>
      <c r="F36" s="160">
        <v>9</v>
      </c>
      <c r="G36" s="200">
        <v>2807</v>
      </c>
      <c r="H36" s="201">
        <f t="shared" si="5"/>
        <v>1177.4939874727397</v>
      </c>
      <c r="I36" s="201">
        <f t="shared" si="1"/>
        <v>1176.0435370430484</v>
      </c>
      <c r="J36" s="202">
        <f t="shared" si="2"/>
        <v>3301154.208479837</v>
      </c>
      <c r="K36" s="203">
        <f t="shared" si="13"/>
        <v>3305225.6228359803</v>
      </c>
      <c r="L36" s="204">
        <f t="shared" si="14"/>
        <v>-4071.4143561432138</v>
      </c>
      <c r="M36" s="205">
        <f t="shared" si="7"/>
        <v>-126.7461971762783</v>
      </c>
      <c r="N36" s="206">
        <f t="shared" si="8"/>
        <v>-4198.1605533194925</v>
      </c>
      <c r="O36" s="205">
        <f t="shared" si="9"/>
        <v>0</v>
      </c>
      <c r="P36" s="205">
        <f t="shared" si="10"/>
        <v>0</v>
      </c>
      <c r="Q36" s="205">
        <v>0</v>
      </c>
      <c r="R36" s="206">
        <f t="shared" si="11"/>
        <v>-4198.1605533194925</v>
      </c>
    </row>
    <row r="37" spans="1:18" x14ac:dyDescent="0.2">
      <c r="A37" s="160">
        <v>6</v>
      </c>
      <c r="B37" s="197">
        <f t="shared" si="4"/>
        <v>44348</v>
      </c>
      <c r="C37" s="220">
        <f t="shared" si="12"/>
        <v>44383</v>
      </c>
      <c r="D37" s="220">
        <f t="shared" si="12"/>
        <v>44401</v>
      </c>
      <c r="E37" s="54" t="s">
        <v>22</v>
      </c>
      <c r="F37" s="160">
        <v>9</v>
      </c>
      <c r="G37" s="200">
        <v>3345</v>
      </c>
      <c r="H37" s="201">
        <f t="shared" si="5"/>
        <v>1177.4939874727397</v>
      </c>
      <c r="I37" s="201">
        <f t="shared" si="1"/>
        <v>1176.0435370430484</v>
      </c>
      <c r="J37" s="202">
        <f t="shared" si="2"/>
        <v>3933865.6314089969</v>
      </c>
      <c r="K37" s="203">
        <f t="shared" si="13"/>
        <v>3938717.3880963144</v>
      </c>
      <c r="L37" s="208">
        <f t="shared" si="14"/>
        <v>-4851.7566873175092</v>
      </c>
      <c r="M37" s="205">
        <f t="shared" si="7"/>
        <v>-151.03884202160705</v>
      </c>
      <c r="N37" s="206">
        <f t="shared" si="8"/>
        <v>-5002.795529339116</v>
      </c>
      <c r="O37" s="205">
        <f t="shared" si="9"/>
        <v>0</v>
      </c>
      <c r="P37" s="205">
        <f t="shared" si="10"/>
        <v>0</v>
      </c>
      <c r="Q37" s="205">
        <v>0</v>
      </c>
      <c r="R37" s="206">
        <f t="shared" si="11"/>
        <v>-5002.795529339116</v>
      </c>
    </row>
    <row r="38" spans="1:18" x14ac:dyDescent="0.2">
      <c r="A38" s="125">
        <v>7</v>
      </c>
      <c r="B38" s="197">
        <f t="shared" si="4"/>
        <v>44378</v>
      </c>
      <c r="C38" s="220">
        <f t="shared" si="12"/>
        <v>44412</v>
      </c>
      <c r="D38" s="220">
        <f t="shared" si="12"/>
        <v>44432</v>
      </c>
      <c r="E38" s="54" t="s">
        <v>22</v>
      </c>
      <c r="F38" s="160">
        <v>9</v>
      </c>
      <c r="G38" s="200">
        <v>3525</v>
      </c>
      <c r="H38" s="201">
        <f t="shared" si="5"/>
        <v>1177.4939874727397</v>
      </c>
      <c r="I38" s="201">
        <f t="shared" si="1"/>
        <v>1176.0435370430484</v>
      </c>
      <c r="J38" s="202">
        <f t="shared" si="2"/>
        <v>4145553.468076746</v>
      </c>
      <c r="K38" s="209">
        <f t="shared" si="13"/>
        <v>4150666.3058414077</v>
      </c>
      <c r="L38" s="208">
        <f t="shared" si="14"/>
        <v>-5112.8377646617591</v>
      </c>
      <c r="M38" s="205">
        <f t="shared" si="7"/>
        <v>-159.16649271335271</v>
      </c>
      <c r="N38" s="206">
        <f t="shared" si="8"/>
        <v>-5272.0042573751116</v>
      </c>
      <c r="O38" s="205">
        <f t="shared" si="9"/>
        <v>0</v>
      </c>
      <c r="P38" s="205">
        <f t="shared" si="10"/>
        <v>0</v>
      </c>
      <c r="Q38" s="205">
        <v>0</v>
      </c>
      <c r="R38" s="206">
        <f t="shared" si="11"/>
        <v>-5272.0042573751116</v>
      </c>
    </row>
    <row r="39" spans="1:18" x14ac:dyDescent="0.2">
      <c r="A39" s="160">
        <v>8</v>
      </c>
      <c r="B39" s="197">
        <f t="shared" si="4"/>
        <v>44409</v>
      </c>
      <c r="C39" s="220">
        <f t="shared" si="12"/>
        <v>44442</v>
      </c>
      <c r="D39" s="220">
        <f t="shared" si="12"/>
        <v>44463</v>
      </c>
      <c r="E39" s="54" t="s">
        <v>22</v>
      </c>
      <c r="F39" s="160">
        <v>9</v>
      </c>
      <c r="G39" s="200">
        <v>3514</v>
      </c>
      <c r="H39" s="201">
        <f t="shared" si="5"/>
        <v>1177.4939874727397</v>
      </c>
      <c r="I39" s="201">
        <f t="shared" si="1"/>
        <v>1176.0435370430484</v>
      </c>
      <c r="J39" s="202">
        <f t="shared" si="2"/>
        <v>4132616.9891692721</v>
      </c>
      <c r="K39" s="209">
        <f t="shared" si="13"/>
        <v>4137713.8719792073</v>
      </c>
      <c r="L39" s="208">
        <f t="shared" si="14"/>
        <v>-5096.8828099351376</v>
      </c>
      <c r="M39" s="205">
        <f t="shared" si="7"/>
        <v>-158.66980294885713</v>
      </c>
      <c r="N39" s="206">
        <f t="shared" si="8"/>
        <v>-5255.5526128839947</v>
      </c>
      <c r="O39" s="205">
        <f t="shared" si="9"/>
        <v>0</v>
      </c>
      <c r="P39" s="205">
        <f t="shared" si="10"/>
        <v>0</v>
      </c>
      <c r="Q39" s="205">
        <v>0</v>
      </c>
      <c r="R39" s="206">
        <f t="shared" si="11"/>
        <v>-5255.5526128839947</v>
      </c>
    </row>
    <row r="40" spans="1:18" x14ac:dyDescent="0.2">
      <c r="A40" s="160">
        <v>9</v>
      </c>
      <c r="B40" s="197">
        <f t="shared" si="4"/>
        <v>44440</v>
      </c>
      <c r="C40" s="220">
        <f t="shared" si="12"/>
        <v>44474</v>
      </c>
      <c r="D40" s="220">
        <f t="shared" si="12"/>
        <v>44494</v>
      </c>
      <c r="E40" s="54" t="s">
        <v>22</v>
      </c>
      <c r="F40" s="160">
        <v>9</v>
      </c>
      <c r="G40" s="200">
        <v>3486</v>
      </c>
      <c r="H40" s="201">
        <f t="shared" si="5"/>
        <v>1177.4939874727397</v>
      </c>
      <c r="I40" s="201">
        <f t="shared" si="1"/>
        <v>1176.0435370430484</v>
      </c>
      <c r="J40" s="202">
        <f t="shared" si="2"/>
        <v>4099687.7701320667</v>
      </c>
      <c r="K40" s="209">
        <f t="shared" si="13"/>
        <v>4104744.0403299709</v>
      </c>
      <c r="L40" s="208">
        <f t="shared" si="14"/>
        <v>-5056.2701979042031</v>
      </c>
      <c r="M40" s="205">
        <f t="shared" si="7"/>
        <v>-157.40550173014117</v>
      </c>
      <c r="N40" s="206">
        <f t="shared" si="8"/>
        <v>-5213.6756996343447</v>
      </c>
      <c r="O40" s="205">
        <f t="shared" si="9"/>
        <v>0</v>
      </c>
      <c r="P40" s="205">
        <f t="shared" si="10"/>
        <v>0</v>
      </c>
      <c r="Q40" s="205">
        <v>0</v>
      </c>
      <c r="R40" s="206">
        <f t="shared" si="11"/>
        <v>-5213.6756996343447</v>
      </c>
    </row>
    <row r="41" spans="1:18" x14ac:dyDescent="0.2">
      <c r="A41" s="125">
        <v>10</v>
      </c>
      <c r="B41" s="197">
        <f t="shared" si="4"/>
        <v>44470</v>
      </c>
      <c r="C41" s="220">
        <f t="shared" si="12"/>
        <v>44503</v>
      </c>
      <c r="D41" s="220">
        <f t="shared" si="12"/>
        <v>44524</v>
      </c>
      <c r="E41" s="54" t="s">
        <v>22</v>
      </c>
      <c r="F41" s="160">
        <v>9</v>
      </c>
      <c r="G41" s="200">
        <v>2777</v>
      </c>
      <c r="H41" s="201">
        <f t="shared" si="5"/>
        <v>1177.4939874727397</v>
      </c>
      <c r="I41" s="201">
        <f t="shared" si="1"/>
        <v>1176.0435370430484</v>
      </c>
      <c r="J41" s="202">
        <f t="shared" si="2"/>
        <v>3265872.9023685455</v>
      </c>
      <c r="K41" s="209">
        <f t="shared" si="13"/>
        <v>3269900.8032117984</v>
      </c>
      <c r="L41" s="208">
        <f t="shared" si="14"/>
        <v>-4027.9008432528935</v>
      </c>
      <c r="M41" s="205">
        <f t="shared" si="7"/>
        <v>-125.39158872765404</v>
      </c>
      <c r="N41" s="206">
        <f t="shared" si="8"/>
        <v>-4153.2924319805479</v>
      </c>
      <c r="O41" s="205">
        <f t="shared" si="9"/>
        <v>0</v>
      </c>
      <c r="P41" s="205">
        <f t="shared" si="10"/>
        <v>0</v>
      </c>
      <c r="Q41" s="205">
        <v>0</v>
      </c>
      <c r="R41" s="206">
        <f t="shared" si="11"/>
        <v>-4153.2924319805479</v>
      </c>
    </row>
    <row r="42" spans="1:18" x14ac:dyDescent="0.2">
      <c r="A42" s="160">
        <v>11</v>
      </c>
      <c r="B42" s="197">
        <f t="shared" si="4"/>
        <v>44501</v>
      </c>
      <c r="C42" s="220">
        <f t="shared" si="12"/>
        <v>44533</v>
      </c>
      <c r="D42" s="220">
        <f t="shared" si="12"/>
        <v>44557</v>
      </c>
      <c r="E42" s="54" t="s">
        <v>22</v>
      </c>
      <c r="F42" s="160">
        <v>9</v>
      </c>
      <c r="G42" s="200">
        <v>2284</v>
      </c>
      <c r="H42" s="201">
        <f t="shared" si="5"/>
        <v>1177.4939874727397</v>
      </c>
      <c r="I42" s="201">
        <f t="shared" si="1"/>
        <v>1176.0435370430484</v>
      </c>
      <c r="J42" s="202">
        <f t="shared" si="2"/>
        <v>2686083.4386063227</v>
      </c>
      <c r="K42" s="209">
        <f t="shared" si="13"/>
        <v>2689396.2673877375</v>
      </c>
      <c r="L42" s="208">
        <f t="shared" si="14"/>
        <v>-3312.828781414777</v>
      </c>
      <c r="M42" s="205">
        <f t="shared" si="7"/>
        <v>-103.13085655526173</v>
      </c>
      <c r="N42" s="206">
        <f t="shared" si="8"/>
        <v>-3415.9596379700388</v>
      </c>
      <c r="O42" s="205">
        <f t="shared" si="9"/>
        <v>0</v>
      </c>
      <c r="P42" s="205">
        <f t="shared" si="10"/>
        <v>0</v>
      </c>
      <c r="Q42" s="205">
        <v>0</v>
      </c>
      <c r="R42" s="206">
        <f t="shared" si="11"/>
        <v>-3415.9596379700388</v>
      </c>
    </row>
    <row r="43" spans="1:18" x14ac:dyDescent="0.2">
      <c r="A43" s="160">
        <v>12</v>
      </c>
      <c r="B43" s="197">
        <f t="shared" si="4"/>
        <v>44531</v>
      </c>
      <c r="C43" s="220">
        <f t="shared" si="12"/>
        <v>44566</v>
      </c>
      <c r="D43" s="220">
        <f t="shared" si="12"/>
        <v>44585</v>
      </c>
      <c r="E43" s="54" t="s">
        <v>22</v>
      </c>
      <c r="F43" s="160">
        <v>9</v>
      </c>
      <c r="G43" s="200">
        <v>2425</v>
      </c>
      <c r="H43" s="212">
        <f t="shared" si="5"/>
        <v>1177.4939874727397</v>
      </c>
      <c r="I43" s="212">
        <f t="shared" si="1"/>
        <v>1176.0435370430484</v>
      </c>
      <c r="J43" s="213">
        <f t="shared" si="2"/>
        <v>2851905.5773293925</v>
      </c>
      <c r="K43" s="214">
        <f t="shared" si="13"/>
        <v>2855422.919621394</v>
      </c>
      <c r="L43" s="215">
        <f t="shared" si="14"/>
        <v>-3517.3422920014709</v>
      </c>
      <c r="M43" s="205">
        <f t="shared" si="7"/>
        <v>-109.49751626379583</v>
      </c>
      <c r="N43" s="206">
        <f t="shared" si="8"/>
        <v>-3626.8398082652666</v>
      </c>
      <c r="O43" s="205">
        <f t="shared" si="9"/>
        <v>0</v>
      </c>
      <c r="P43" s="205">
        <f t="shared" si="10"/>
        <v>0</v>
      </c>
      <c r="Q43" s="205">
        <v>0</v>
      </c>
      <c r="R43" s="206">
        <f t="shared" si="11"/>
        <v>-3626.8398082652666</v>
      </c>
    </row>
    <row r="44" spans="1:18" x14ac:dyDescent="0.2">
      <c r="A44" s="125">
        <v>1</v>
      </c>
      <c r="B44" s="216">
        <f t="shared" ref="B44:B55" si="15">DATE($R$1,A44,1)</f>
        <v>44197</v>
      </c>
      <c r="C44" s="217">
        <f t="shared" ref="C44:D55" si="16">+C32</f>
        <v>44230</v>
      </c>
      <c r="D44" s="217">
        <f t="shared" si="16"/>
        <v>44251</v>
      </c>
      <c r="E44" s="218" t="s">
        <v>83</v>
      </c>
      <c r="F44" s="219">
        <v>9</v>
      </c>
      <c r="G44" s="200">
        <v>146</v>
      </c>
      <c r="H44" s="201">
        <f t="shared" si="5"/>
        <v>1177.4939874727397</v>
      </c>
      <c r="I44" s="201">
        <f t="shared" si="1"/>
        <v>1176.0435370430484</v>
      </c>
      <c r="J44" s="205">
        <f t="shared" ref="J44:J55" si="17">+$G44*I44</f>
        <v>171702.35640828506</v>
      </c>
      <c r="K44" s="209">
        <f t="shared" ref="K44:K55" si="18">+$G44*H44</f>
        <v>171914.12217101999</v>
      </c>
      <c r="L44" s="208">
        <f t="shared" ref="L44:L55" si="19">+J44-K44</f>
        <v>-211.76576273492537</v>
      </c>
      <c r="M44" s="205">
        <f t="shared" si="7"/>
        <v>-6.5924277833048217</v>
      </c>
      <c r="N44" s="206">
        <f t="shared" si="8"/>
        <v>-218.3581905182302</v>
      </c>
      <c r="O44" s="205">
        <f t="shared" si="9"/>
        <v>0</v>
      </c>
      <c r="P44" s="205">
        <f t="shared" si="10"/>
        <v>0</v>
      </c>
      <c r="Q44" s="205">
        <v>0</v>
      </c>
      <c r="R44" s="206">
        <f t="shared" si="11"/>
        <v>-218.3581905182302</v>
      </c>
    </row>
    <row r="45" spans="1:18" x14ac:dyDescent="0.2">
      <c r="A45" s="160">
        <v>2</v>
      </c>
      <c r="B45" s="197">
        <f t="shared" si="15"/>
        <v>44228</v>
      </c>
      <c r="C45" s="220">
        <f t="shared" si="16"/>
        <v>44258</v>
      </c>
      <c r="D45" s="220">
        <f t="shared" si="16"/>
        <v>44279</v>
      </c>
      <c r="E45" s="207" t="s">
        <v>83</v>
      </c>
      <c r="F45" s="160">
        <v>9</v>
      </c>
      <c r="G45" s="200">
        <v>212</v>
      </c>
      <c r="H45" s="201">
        <f t="shared" si="5"/>
        <v>1177.4939874727397</v>
      </c>
      <c r="I45" s="201">
        <f t="shared" si="1"/>
        <v>1176.0435370430484</v>
      </c>
      <c r="J45" s="205">
        <f t="shared" si="17"/>
        <v>249321.22985312628</v>
      </c>
      <c r="K45" s="209">
        <f t="shared" si="18"/>
        <v>249628.72534422082</v>
      </c>
      <c r="L45" s="208">
        <f t="shared" si="19"/>
        <v>-307.49549109453801</v>
      </c>
      <c r="M45" s="205">
        <f t="shared" si="7"/>
        <v>-9.5725663702782349</v>
      </c>
      <c r="N45" s="206">
        <f t="shared" si="8"/>
        <v>-317.06805746481626</v>
      </c>
      <c r="O45" s="205">
        <f t="shared" si="9"/>
        <v>0</v>
      </c>
      <c r="P45" s="205">
        <f t="shared" si="10"/>
        <v>0</v>
      </c>
      <c r="Q45" s="205">
        <v>0</v>
      </c>
      <c r="R45" s="206">
        <f t="shared" si="11"/>
        <v>-317.06805746481626</v>
      </c>
    </row>
    <row r="46" spans="1:18" x14ac:dyDescent="0.2">
      <c r="A46" s="160">
        <v>3</v>
      </c>
      <c r="B46" s="197">
        <f t="shared" si="15"/>
        <v>44256</v>
      </c>
      <c r="C46" s="220">
        <f t="shared" si="16"/>
        <v>44291</v>
      </c>
      <c r="D46" s="220">
        <f t="shared" si="16"/>
        <v>44312</v>
      </c>
      <c r="E46" s="207" t="s">
        <v>83</v>
      </c>
      <c r="F46" s="160">
        <v>9</v>
      </c>
      <c r="G46" s="200">
        <v>125</v>
      </c>
      <c r="H46" s="201">
        <f t="shared" si="5"/>
        <v>1177.4939874727397</v>
      </c>
      <c r="I46" s="201">
        <f t="shared" si="1"/>
        <v>1176.0435370430484</v>
      </c>
      <c r="J46" s="205">
        <f t="shared" si="17"/>
        <v>147005.44213038107</v>
      </c>
      <c r="K46" s="209">
        <f t="shared" si="18"/>
        <v>147186.74843409247</v>
      </c>
      <c r="L46" s="208">
        <f t="shared" si="19"/>
        <v>-181.30630371140433</v>
      </c>
      <c r="M46" s="205">
        <f t="shared" si="7"/>
        <v>-5.6442018692678264</v>
      </c>
      <c r="N46" s="206">
        <f t="shared" si="8"/>
        <v>-186.95050558067214</v>
      </c>
      <c r="O46" s="205">
        <f t="shared" si="9"/>
        <v>0</v>
      </c>
      <c r="P46" s="205">
        <f t="shared" si="10"/>
        <v>0</v>
      </c>
      <c r="Q46" s="205">
        <v>0</v>
      </c>
      <c r="R46" s="206">
        <f t="shared" si="11"/>
        <v>-186.95050558067214</v>
      </c>
    </row>
    <row r="47" spans="1:18" x14ac:dyDescent="0.2">
      <c r="A47" s="125">
        <v>4</v>
      </c>
      <c r="B47" s="197">
        <f t="shared" si="15"/>
        <v>44287</v>
      </c>
      <c r="C47" s="220">
        <f t="shared" si="16"/>
        <v>44321</v>
      </c>
      <c r="D47" s="220">
        <f t="shared" si="16"/>
        <v>44340</v>
      </c>
      <c r="E47" s="207" t="s">
        <v>83</v>
      </c>
      <c r="F47" s="160">
        <v>9</v>
      </c>
      <c r="G47" s="200">
        <v>92</v>
      </c>
      <c r="H47" s="201">
        <f t="shared" si="5"/>
        <v>1177.4939874727397</v>
      </c>
      <c r="I47" s="201">
        <f t="shared" si="1"/>
        <v>1176.0435370430484</v>
      </c>
      <c r="J47" s="205">
        <f t="shared" si="17"/>
        <v>108196.00540796046</v>
      </c>
      <c r="K47" s="209">
        <f t="shared" si="18"/>
        <v>108329.44684749206</v>
      </c>
      <c r="L47" s="208">
        <f t="shared" si="19"/>
        <v>-133.44143953159801</v>
      </c>
      <c r="M47" s="205">
        <f t="shared" si="7"/>
        <v>-4.1541325757811203</v>
      </c>
      <c r="N47" s="206">
        <f t="shared" si="8"/>
        <v>-137.59557210737913</v>
      </c>
      <c r="O47" s="205">
        <f t="shared" si="9"/>
        <v>0</v>
      </c>
      <c r="P47" s="205">
        <f t="shared" si="10"/>
        <v>0</v>
      </c>
      <c r="Q47" s="205">
        <v>0</v>
      </c>
      <c r="R47" s="206">
        <f t="shared" si="11"/>
        <v>-137.59557210737913</v>
      </c>
    </row>
    <row r="48" spans="1:18" x14ac:dyDescent="0.2">
      <c r="A48" s="160">
        <v>5</v>
      </c>
      <c r="B48" s="197">
        <f t="shared" si="15"/>
        <v>44317</v>
      </c>
      <c r="C48" s="220">
        <f t="shared" si="16"/>
        <v>44350</v>
      </c>
      <c r="D48" s="220">
        <f t="shared" si="16"/>
        <v>44371</v>
      </c>
      <c r="E48" s="207" t="s">
        <v>83</v>
      </c>
      <c r="F48" s="160">
        <v>9</v>
      </c>
      <c r="G48" s="200">
        <v>102</v>
      </c>
      <c r="H48" s="201">
        <f t="shared" si="5"/>
        <v>1177.4939874727397</v>
      </c>
      <c r="I48" s="201">
        <f t="shared" si="1"/>
        <v>1176.0435370430484</v>
      </c>
      <c r="J48" s="205">
        <f t="shared" si="17"/>
        <v>119956.44077839094</v>
      </c>
      <c r="K48" s="209">
        <f t="shared" si="18"/>
        <v>120104.38672221945</v>
      </c>
      <c r="L48" s="208">
        <f t="shared" si="19"/>
        <v>-147.9459438285121</v>
      </c>
      <c r="M48" s="205">
        <f t="shared" si="7"/>
        <v>-4.6056687253225466</v>
      </c>
      <c r="N48" s="206">
        <f t="shared" si="8"/>
        <v>-152.55161255383464</v>
      </c>
      <c r="O48" s="205">
        <f t="shared" si="9"/>
        <v>0</v>
      </c>
      <c r="P48" s="205">
        <f t="shared" si="10"/>
        <v>0</v>
      </c>
      <c r="Q48" s="205">
        <v>0</v>
      </c>
      <c r="R48" s="206">
        <f t="shared" si="11"/>
        <v>-152.55161255383464</v>
      </c>
    </row>
    <row r="49" spans="1:18" x14ac:dyDescent="0.2">
      <c r="A49" s="160">
        <v>6</v>
      </c>
      <c r="B49" s="197">
        <f t="shared" si="15"/>
        <v>44348</v>
      </c>
      <c r="C49" s="220">
        <f t="shared" si="16"/>
        <v>44383</v>
      </c>
      <c r="D49" s="220">
        <f t="shared" si="16"/>
        <v>44401</v>
      </c>
      <c r="E49" s="207" t="s">
        <v>83</v>
      </c>
      <c r="F49" s="160">
        <v>9</v>
      </c>
      <c r="G49" s="200">
        <v>124</v>
      </c>
      <c r="H49" s="201">
        <f t="shared" si="5"/>
        <v>1177.4939874727397</v>
      </c>
      <c r="I49" s="201">
        <f t="shared" si="1"/>
        <v>1176.0435370430484</v>
      </c>
      <c r="J49" s="205">
        <f t="shared" si="17"/>
        <v>145829.398593338</v>
      </c>
      <c r="K49" s="209">
        <f t="shared" si="18"/>
        <v>146009.25444661971</v>
      </c>
      <c r="L49" s="208">
        <f t="shared" si="19"/>
        <v>-179.85585328171146</v>
      </c>
      <c r="M49" s="205">
        <f t="shared" si="7"/>
        <v>-5.5990482543136837</v>
      </c>
      <c r="N49" s="206">
        <f t="shared" si="8"/>
        <v>-185.45490153602515</v>
      </c>
      <c r="O49" s="205">
        <f t="shared" si="9"/>
        <v>0</v>
      </c>
      <c r="P49" s="205">
        <f t="shared" si="10"/>
        <v>0</v>
      </c>
      <c r="Q49" s="205">
        <v>0</v>
      </c>
      <c r="R49" s="206">
        <f t="shared" si="11"/>
        <v>-185.45490153602515</v>
      </c>
    </row>
    <row r="50" spans="1:18" x14ac:dyDescent="0.2">
      <c r="A50" s="125">
        <v>7</v>
      </c>
      <c r="B50" s="197">
        <f t="shared" si="15"/>
        <v>44378</v>
      </c>
      <c r="C50" s="220">
        <f t="shared" si="16"/>
        <v>44412</v>
      </c>
      <c r="D50" s="220">
        <f t="shared" si="16"/>
        <v>44432</v>
      </c>
      <c r="E50" s="207" t="s">
        <v>83</v>
      </c>
      <c r="F50" s="160">
        <v>9</v>
      </c>
      <c r="G50" s="200">
        <v>138</v>
      </c>
      <c r="H50" s="201">
        <f t="shared" si="5"/>
        <v>1177.4939874727397</v>
      </c>
      <c r="I50" s="201">
        <f t="shared" si="1"/>
        <v>1176.0435370430484</v>
      </c>
      <c r="J50" s="205">
        <f t="shared" si="17"/>
        <v>162294.0081119407</v>
      </c>
      <c r="K50" s="209">
        <f t="shared" si="18"/>
        <v>162494.17027123808</v>
      </c>
      <c r="L50" s="208">
        <f t="shared" si="19"/>
        <v>-200.16215929738246</v>
      </c>
      <c r="M50" s="205">
        <f t="shared" si="7"/>
        <v>-6.2311988636716809</v>
      </c>
      <c r="N50" s="206">
        <f t="shared" si="8"/>
        <v>-206.39335816105415</v>
      </c>
      <c r="O50" s="205">
        <f t="shared" si="9"/>
        <v>0</v>
      </c>
      <c r="P50" s="205">
        <f t="shared" si="10"/>
        <v>0</v>
      </c>
      <c r="Q50" s="205">
        <v>0</v>
      </c>
      <c r="R50" s="206">
        <f t="shared" si="11"/>
        <v>-206.39335816105415</v>
      </c>
    </row>
    <row r="51" spans="1:18" x14ac:dyDescent="0.2">
      <c r="A51" s="160">
        <v>8</v>
      </c>
      <c r="B51" s="197">
        <f t="shared" si="15"/>
        <v>44409</v>
      </c>
      <c r="C51" s="220">
        <f t="shared" si="16"/>
        <v>44442</v>
      </c>
      <c r="D51" s="220">
        <f t="shared" si="16"/>
        <v>44463</v>
      </c>
      <c r="E51" s="207" t="s">
        <v>83</v>
      </c>
      <c r="F51" s="160">
        <v>9</v>
      </c>
      <c r="G51" s="200">
        <v>140</v>
      </c>
      <c r="H51" s="201">
        <f t="shared" si="5"/>
        <v>1177.4939874727397</v>
      </c>
      <c r="I51" s="201">
        <f t="shared" si="1"/>
        <v>1176.0435370430484</v>
      </c>
      <c r="J51" s="205">
        <f t="shared" si="17"/>
        <v>164646.0951860268</v>
      </c>
      <c r="K51" s="209">
        <f t="shared" si="18"/>
        <v>164849.15824618356</v>
      </c>
      <c r="L51" s="208">
        <f t="shared" si="19"/>
        <v>-203.06306015676819</v>
      </c>
      <c r="M51" s="205">
        <f t="shared" si="7"/>
        <v>-6.3215060935799663</v>
      </c>
      <c r="N51" s="206">
        <f t="shared" si="8"/>
        <v>-209.38456625034814</v>
      </c>
      <c r="O51" s="205">
        <f t="shared" si="9"/>
        <v>0</v>
      </c>
      <c r="P51" s="205">
        <f t="shared" si="10"/>
        <v>0</v>
      </c>
      <c r="Q51" s="205">
        <v>0</v>
      </c>
      <c r="R51" s="206">
        <f t="shared" si="11"/>
        <v>-209.38456625034814</v>
      </c>
    </row>
    <row r="52" spans="1:18" x14ac:dyDescent="0.2">
      <c r="A52" s="160">
        <v>9</v>
      </c>
      <c r="B52" s="197">
        <f t="shared" si="15"/>
        <v>44440</v>
      </c>
      <c r="C52" s="220">
        <f t="shared" si="16"/>
        <v>44474</v>
      </c>
      <c r="D52" s="220">
        <f t="shared" si="16"/>
        <v>44494</v>
      </c>
      <c r="E52" s="207" t="s">
        <v>83</v>
      </c>
      <c r="F52" s="160">
        <v>9</v>
      </c>
      <c r="G52" s="200">
        <v>140</v>
      </c>
      <c r="H52" s="201">
        <f t="shared" si="5"/>
        <v>1177.4939874727397</v>
      </c>
      <c r="I52" s="201">
        <f t="shared" si="1"/>
        <v>1176.0435370430484</v>
      </c>
      <c r="J52" s="205">
        <f t="shared" si="17"/>
        <v>164646.0951860268</v>
      </c>
      <c r="K52" s="209">
        <f t="shared" si="18"/>
        <v>164849.15824618356</v>
      </c>
      <c r="L52" s="208">
        <f t="shared" si="19"/>
        <v>-203.06306015676819</v>
      </c>
      <c r="M52" s="205">
        <f t="shared" si="7"/>
        <v>-6.3215060935799663</v>
      </c>
      <c r="N52" s="206">
        <f t="shared" si="8"/>
        <v>-209.38456625034814</v>
      </c>
      <c r="O52" s="205">
        <f t="shared" si="9"/>
        <v>0</v>
      </c>
      <c r="P52" s="205">
        <f t="shared" si="10"/>
        <v>0</v>
      </c>
      <c r="Q52" s="205">
        <v>0</v>
      </c>
      <c r="R52" s="206">
        <f t="shared" si="11"/>
        <v>-209.38456625034814</v>
      </c>
    </row>
    <row r="53" spans="1:18" x14ac:dyDescent="0.2">
      <c r="A53" s="125">
        <v>10</v>
      </c>
      <c r="B53" s="197">
        <f t="shared" si="15"/>
        <v>44470</v>
      </c>
      <c r="C53" s="220">
        <f t="shared" si="16"/>
        <v>44503</v>
      </c>
      <c r="D53" s="220">
        <f t="shared" si="16"/>
        <v>44524</v>
      </c>
      <c r="E53" s="207" t="s">
        <v>83</v>
      </c>
      <c r="F53" s="160">
        <v>9</v>
      </c>
      <c r="G53" s="200">
        <v>106</v>
      </c>
      <c r="H53" s="201">
        <f t="shared" si="5"/>
        <v>1177.4939874727397</v>
      </c>
      <c r="I53" s="201">
        <f t="shared" si="1"/>
        <v>1176.0435370430484</v>
      </c>
      <c r="J53" s="205">
        <f t="shared" si="17"/>
        <v>124660.61492656314</v>
      </c>
      <c r="K53" s="209">
        <f t="shared" si="18"/>
        <v>124814.36267211041</v>
      </c>
      <c r="L53" s="208">
        <f t="shared" si="19"/>
        <v>-153.74774554726901</v>
      </c>
      <c r="M53" s="205">
        <f t="shared" si="7"/>
        <v>-4.7862831851391174</v>
      </c>
      <c r="N53" s="206">
        <f t="shared" si="8"/>
        <v>-158.53402873240813</v>
      </c>
      <c r="O53" s="205">
        <f t="shared" si="9"/>
        <v>0</v>
      </c>
      <c r="P53" s="205">
        <f t="shared" si="10"/>
        <v>0</v>
      </c>
      <c r="Q53" s="205">
        <v>0</v>
      </c>
      <c r="R53" s="206">
        <f t="shared" si="11"/>
        <v>-158.53402873240813</v>
      </c>
    </row>
    <row r="54" spans="1:18" x14ac:dyDescent="0.2">
      <c r="A54" s="160">
        <v>11</v>
      </c>
      <c r="B54" s="197">
        <f t="shared" si="15"/>
        <v>44501</v>
      </c>
      <c r="C54" s="220">
        <f t="shared" si="16"/>
        <v>44533</v>
      </c>
      <c r="D54" s="220">
        <f t="shared" si="16"/>
        <v>44557</v>
      </c>
      <c r="E54" s="207" t="s">
        <v>83</v>
      </c>
      <c r="F54" s="160">
        <v>9</v>
      </c>
      <c r="G54" s="200">
        <v>107</v>
      </c>
      <c r="H54" s="201">
        <f t="shared" si="5"/>
        <v>1177.4939874727397</v>
      </c>
      <c r="I54" s="201">
        <f t="shared" si="1"/>
        <v>1176.0435370430484</v>
      </c>
      <c r="J54" s="205">
        <f t="shared" si="17"/>
        <v>125836.65846360619</v>
      </c>
      <c r="K54" s="209">
        <f t="shared" si="18"/>
        <v>125991.85665958315</v>
      </c>
      <c r="L54" s="208">
        <f t="shared" si="19"/>
        <v>-155.19819597696187</v>
      </c>
      <c r="M54" s="205">
        <f t="shared" si="7"/>
        <v>-4.8314368000932602</v>
      </c>
      <c r="N54" s="206">
        <f t="shared" si="8"/>
        <v>-160.02963277705513</v>
      </c>
      <c r="O54" s="205">
        <f t="shared" si="9"/>
        <v>0</v>
      </c>
      <c r="P54" s="205">
        <f t="shared" si="10"/>
        <v>0</v>
      </c>
      <c r="Q54" s="205">
        <v>0</v>
      </c>
      <c r="R54" s="206">
        <f t="shared" si="11"/>
        <v>-160.02963277705513</v>
      </c>
    </row>
    <row r="55" spans="1:18" x14ac:dyDescent="0.2">
      <c r="A55" s="160">
        <v>12</v>
      </c>
      <c r="B55" s="197">
        <f t="shared" si="15"/>
        <v>44531</v>
      </c>
      <c r="C55" s="220">
        <f t="shared" si="16"/>
        <v>44566</v>
      </c>
      <c r="D55" s="220">
        <f t="shared" si="16"/>
        <v>44585</v>
      </c>
      <c r="E55" s="207" t="s">
        <v>83</v>
      </c>
      <c r="F55" s="160">
        <v>9</v>
      </c>
      <c r="G55" s="200">
        <v>110</v>
      </c>
      <c r="H55" s="212">
        <f t="shared" si="5"/>
        <v>1177.4939874727397</v>
      </c>
      <c r="I55" s="212">
        <f t="shared" si="1"/>
        <v>1176.0435370430484</v>
      </c>
      <c r="J55" s="213">
        <f t="shared" si="17"/>
        <v>129364.78907473532</v>
      </c>
      <c r="K55" s="214">
        <f t="shared" si="18"/>
        <v>129524.33862200136</v>
      </c>
      <c r="L55" s="215">
        <f t="shared" si="19"/>
        <v>-159.54954726604046</v>
      </c>
      <c r="M55" s="205">
        <f t="shared" si="7"/>
        <v>-4.9668976449556874</v>
      </c>
      <c r="N55" s="206">
        <f t="shared" si="8"/>
        <v>-164.51644491099614</v>
      </c>
      <c r="O55" s="205">
        <f t="shared" si="9"/>
        <v>0</v>
      </c>
      <c r="P55" s="205">
        <f t="shared" si="10"/>
        <v>0</v>
      </c>
      <c r="Q55" s="205">
        <v>0</v>
      </c>
      <c r="R55" s="206">
        <f t="shared" si="11"/>
        <v>-164.51644491099614</v>
      </c>
    </row>
    <row r="56" spans="1:18" s="221" customFormat="1" x14ac:dyDescent="0.2">
      <c r="A56" s="125">
        <v>1</v>
      </c>
      <c r="B56" s="216">
        <f t="shared" si="4"/>
        <v>44197</v>
      </c>
      <c r="C56" s="217">
        <f t="shared" ref="C56:D67" si="20">+C32</f>
        <v>44230</v>
      </c>
      <c r="D56" s="217">
        <f t="shared" si="20"/>
        <v>44251</v>
      </c>
      <c r="E56" s="218" t="s">
        <v>14</v>
      </c>
      <c r="F56" s="219">
        <v>9</v>
      </c>
      <c r="G56" s="200">
        <v>767</v>
      </c>
      <c r="H56" s="201">
        <f t="shared" si="5"/>
        <v>1177.4939874727397</v>
      </c>
      <c r="I56" s="201">
        <f t="shared" si="1"/>
        <v>1176.0435370430484</v>
      </c>
      <c r="J56" s="202">
        <f>+$G56*I56</f>
        <v>902025.39291201811</v>
      </c>
      <c r="K56" s="203">
        <f t="shared" si="13"/>
        <v>903137.88839159138</v>
      </c>
      <c r="L56" s="204">
        <f t="shared" si="14"/>
        <v>-1112.4954795732629</v>
      </c>
      <c r="M56" s="205">
        <f t="shared" si="7"/>
        <v>-34.632822669827384</v>
      </c>
      <c r="N56" s="206">
        <f t="shared" si="8"/>
        <v>-1147.1283022430903</v>
      </c>
      <c r="O56" s="205">
        <f t="shared" si="9"/>
        <v>0</v>
      </c>
      <c r="P56" s="205">
        <f t="shared" si="10"/>
        <v>0</v>
      </c>
      <c r="Q56" s="205">
        <v>0</v>
      </c>
      <c r="R56" s="206">
        <f t="shared" si="11"/>
        <v>-1147.1283022430903</v>
      </c>
    </row>
    <row r="57" spans="1:18" x14ac:dyDescent="0.2">
      <c r="A57" s="160">
        <v>2</v>
      </c>
      <c r="B57" s="197">
        <f t="shared" si="4"/>
        <v>44228</v>
      </c>
      <c r="C57" s="220">
        <f t="shared" si="20"/>
        <v>44258</v>
      </c>
      <c r="D57" s="220">
        <f t="shared" si="20"/>
        <v>44279</v>
      </c>
      <c r="E57" s="207" t="s">
        <v>14</v>
      </c>
      <c r="F57" s="160">
        <v>9</v>
      </c>
      <c r="G57" s="200">
        <v>1062</v>
      </c>
      <c r="H57" s="201">
        <f t="shared" si="5"/>
        <v>1177.4939874727397</v>
      </c>
      <c r="I57" s="201">
        <f t="shared" si="1"/>
        <v>1176.0435370430484</v>
      </c>
      <c r="J57" s="202">
        <f t="shared" si="2"/>
        <v>1248958.2363397174</v>
      </c>
      <c r="K57" s="203">
        <f t="shared" si="13"/>
        <v>1250498.6146960496</v>
      </c>
      <c r="L57" s="204">
        <f t="shared" si="14"/>
        <v>-1540.3783563321922</v>
      </c>
      <c r="M57" s="205">
        <f t="shared" si="7"/>
        <v>-47.953139081299454</v>
      </c>
      <c r="N57" s="206">
        <f t="shared" si="8"/>
        <v>-1588.3314954134917</v>
      </c>
      <c r="O57" s="205">
        <f t="shared" si="9"/>
        <v>0</v>
      </c>
      <c r="P57" s="205">
        <f t="shared" si="10"/>
        <v>0</v>
      </c>
      <c r="Q57" s="205">
        <v>0</v>
      </c>
      <c r="R57" s="206">
        <f t="shared" si="11"/>
        <v>-1588.3314954134917</v>
      </c>
    </row>
    <row r="58" spans="1:18" x14ac:dyDescent="0.2">
      <c r="A58" s="160">
        <v>3</v>
      </c>
      <c r="B58" s="197">
        <f t="shared" si="4"/>
        <v>44256</v>
      </c>
      <c r="C58" s="220">
        <f t="shared" si="20"/>
        <v>44291</v>
      </c>
      <c r="D58" s="220">
        <f t="shared" si="20"/>
        <v>44312</v>
      </c>
      <c r="E58" s="207" t="s">
        <v>14</v>
      </c>
      <c r="F58" s="160">
        <v>9</v>
      </c>
      <c r="G58" s="200">
        <v>599</v>
      </c>
      <c r="H58" s="201">
        <f t="shared" si="5"/>
        <v>1177.4939874727397</v>
      </c>
      <c r="I58" s="201">
        <f t="shared" si="1"/>
        <v>1176.0435370430484</v>
      </c>
      <c r="J58" s="202">
        <f t="shared" si="2"/>
        <v>704450.07868878602</v>
      </c>
      <c r="K58" s="203">
        <f t="shared" si="13"/>
        <v>705318.89849617111</v>
      </c>
      <c r="L58" s="204">
        <f>+J58-K58</f>
        <v>-868.81980738509446</v>
      </c>
      <c r="M58" s="205">
        <f t="shared" si="7"/>
        <v>-27.047015357531425</v>
      </c>
      <c r="N58" s="206">
        <f t="shared" si="8"/>
        <v>-895.86682274262591</v>
      </c>
      <c r="O58" s="205">
        <f t="shared" si="9"/>
        <v>0</v>
      </c>
      <c r="P58" s="205">
        <f t="shared" si="10"/>
        <v>0</v>
      </c>
      <c r="Q58" s="205">
        <v>0</v>
      </c>
      <c r="R58" s="206">
        <f t="shared" si="11"/>
        <v>-895.86682274262591</v>
      </c>
    </row>
    <row r="59" spans="1:18" x14ac:dyDescent="0.2">
      <c r="A59" s="125">
        <v>4</v>
      </c>
      <c r="B59" s="197">
        <f t="shared" si="4"/>
        <v>44287</v>
      </c>
      <c r="C59" s="220">
        <f t="shared" si="20"/>
        <v>44321</v>
      </c>
      <c r="D59" s="220">
        <f t="shared" si="20"/>
        <v>44340</v>
      </c>
      <c r="E59" s="207" t="s">
        <v>14</v>
      </c>
      <c r="F59" s="160">
        <v>9</v>
      </c>
      <c r="G59" s="200">
        <v>447</v>
      </c>
      <c r="H59" s="201">
        <f t="shared" si="5"/>
        <v>1177.4939874727397</v>
      </c>
      <c r="I59" s="201">
        <f t="shared" si="1"/>
        <v>1176.0435370430484</v>
      </c>
      <c r="J59" s="202">
        <f t="shared" si="2"/>
        <v>525691.46105824271</v>
      </c>
      <c r="K59" s="203">
        <f t="shared" si="13"/>
        <v>526339.81240031461</v>
      </c>
      <c r="L59" s="204">
        <f t="shared" ref="L59:L81" si="21">+J59-K59</f>
        <v>-648.35134207189549</v>
      </c>
      <c r="M59" s="205">
        <f t="shared" si="7"/>
        <v>-20.183665884501746</v>
      </c>
      <c r="N59" s="206">
        <f t="shared" si="8"/>
        <v>-668.53500795639718</v>
      </c>
      <c r="O59" s="205">
        <f t="shared" si="9"/>
        <v>0</v>
      </c>
      <c r="P59" s="205">
        <f t="shared" si="10"/>
        <v>0</v>
      </c>
      <c r="Q59" s="205">
        <v>0</v>
      </c>
      <c r="R59" s="206">
        <f t="shared" si="11"/>
        <v>-668.53500795639718</v>
      </c>
    </row>
    <row r="60" spans="1:18" x14ac:dyDescent="0.2">
      <c r="A60" s="160">
        <v>5</v>
      </c>
      <c r="B60" s="197">
        <f t="shared" si="4"/>
        <v>44317</v>
      </c>
      <c r="C60" s="220">
        <f t="shared" si="20"/>
        <v>44350</v>
      </c>
      <c r="D60" s="220">
        <f t="shared" si="20"/>
        <v>44371</v>
      </c>
      <c r="E60" s="54" t="s">
        <v>14</v>
      </c>
      <c r="F60" s="160">
        <v>9</v>
      </c>
      <c r="G60" s="200">
        <v>603</v>
      </c>
      <c r="H60" s="201">
        <f t="shared" si="5"/>
        <v>1177.4939874727397</v>
      </c>
      <c r="I60" s="201">
        <f t="shared" si="1"/>
        <v>1176.0435370430484</v>
      </c>
      <c r="J60" s="202">
        <f t="shared" si="2"/>
        <v>709154.25283695816</v>
      </c>
      <c r="K60" s="203">
        <f t="shared" si="13"/>
        <v>710028.87444606202</v>
      </c>
      <c r="L60" s="204">
        <f t="shared" si="21"/>
        <v>-874.62160910386592</v>
      </c>
      <c r="M60" s="205">
        <f t="shared" si="7"/>
        <v>-27.227629817347992</v>
      </c>
      <c r="N60" s="206">
        <f t="shared" si="8"/>
        <v>-901.8492389212139</v>
      </c>
      <c r="O60" s="205">
        <f t="shared" si="9"/>
        <v>0</v>
      </c>
      <c r="P60" s="205">
        <f t="shared" si="10"/>
        <v>0</v>
      </c>
      <c r="Q60" s="205">
        <v>0</v>
      </c>
      <c r="R60" s="206">
        <f t="shared" si="11"/>
        <v>-901.8492389212139</v>
      </c>
    </row>
    <row r="61" spans="1:18" x14ac:dyDescent="0.2">
      <c r="A61" s="160">
        <v>6</v>
      </c>
      <c r="B61" s="197">
        <f t="shared" si="4"/>
        <v>44348</v>
      </c>
      <c r="C61" s="220">
        <f t="shared" si="20"/>
        <v>44383</v>
      </c>
      <c r="D61" s="220">
        <f t="shared" si="20"/>
        <v>44401</v>
      </c>
      <c r="E61" s="54" t="s">
        <v>14</v>
      </c>
      <c r="F61" s="160">
        <v>9</v>
      </c>
      <c r="G61" s="200">
        <v>840</v>
      </c>
      <c r="H61" s="201">
        <f t="shared" si="5"/>
        <v>1177.4939874727397</v>
      </c>
      <c r="I61" s="201">
        <f t="shared" si="1"/>
        <v>1176.0435370430484</v>
      </c>
      <c r="J61" s="202">
        <f t="shared" si="2"/>
        <v>987876.57111616072</v>
      </c>
      <c r="K61" s="203">
        <f t="shared" si="13"/>
        <v>989094.94947710133</v>
      </c>
      <c r="L61" s="208">
        <f t="shared" si="21"/>
        <v>-1218.3783609406091</v>
      </c>
      <c r="M61" s="205">
        <f t="shared" si="7"/>
        <v>-37.929036561479798</v>
      </c>
      <c r="N61" s="206">
        <f t="shared" si="8"/>
        <v>-1256.3073975020889</v>
      </c>
      <c r="O61" s="205">
        <f t="shared" si="9"/>
        <v>0</v>
      </c>
      <c r="P61" s="205">
        <f t="shared" si="10"/>
        <v>0</v>
      </c>
      <c r="Q61" s="205">
        <v>0</v>
      </c>
      <c r="R61" s="206">
        <f t="shared" si="11"/>
        <v>-1256.3073975020889</v>
      </c>
    </row>
    <row r="62" spans="1:18" x14ac:dyDescent="0.2">
      <c r="A62" s="125">
        <v>7</v>
      </c>
      <c r="B62" s="197">
        <f t="shared" si="4"/>
        <v>44378</v>
      </c>
      <c r="C62" s="220">
        <f t="shared" si="20"/>
        <v>44412</v>
      </c>
      <c r="D62" s="220">
        <f t="shared" si="20"/>
        <v>44432</v>
      </c>
      <c r="E62" s="54" t="s">
        <v>14</v>
      </c>
      <c r="F62" s="160">
        <v>9</v>
      </c>
      <c r="G62" s="200">
        <v>926</v>
      </c>
      <c r="H62" s="201">
        <f t="shared" si="5"/>
        <v>1177.4939874727397</v>
      </c>
      <c r="I62" s="201">
        <f t="shared" si="1"/>
        <v>1176.0435370430484</v>
      </c>
      <c r="J62" s="202">
        <f t="shared" si="2"/>
        <v>1089016.3153018628</v>
      </c>
      <c r="K62" s="209">
        <f t="shared" si="13"/>
        <v>1090359.432399757</v>
      </c>
      <c r="L62" s="208">
        <f t="shared" si="21"/>
        <v>-1343.1170978941955</v>
      </c>
      <c r="M62" s="205">
        <f t="shared" si="7"/>
        <v>-41.812247447536052</v>
      </c>
      <c r="N62" s="206">
        <f t="shared" si="8"/>
        <v>-1384.9293453417315</v>
      </c>
      <c r="O62" s="205">
        <f t="shared" si="9"/>
        <v>0</v>
      </c>
      <c r="P62" s="205">
        <f t="shared" si="10"/>
        <v>0</v>
      </c>
      <c r="Q62" s="205">
        <v>0</v>
      </c>
      <c r="R62" s="206">
        <f t="shared" si="11"/>
        <v>-1384.9293453417315</v>
      </c>
    </row>
    <row r="63" spans="1:18" x14ac:dyDescent="0.2">
      <c r="A63" s="160">
        <v>8</v>
      </c>
      <c r="B63" s="197">
        <f t="shared" si="4"/>
        <v>44409</v>
      </c>
      <c r="C63" s="220">
        <f t="shared" si="20"/>
        <v>44442</v>
      </c>
      <c r="D63" s="220">
        <f t="shared" si="20"/>
        <v>44463</v>
      </c>
      <c r="E63" s="54" t="s">
        <v>14</v>
      </c>
      <c r="F63" s="160">
        <v>9</v>
      </c>
      <c r="G63" s="200">
        <v>943</v>
      </c>
      <c r="H63" s="201">
        <f t="shared" si="5"/>
        <v>1177.4939874727397</v>
      </c>
      <c r="I63" s="201">
        <f t="shared" si="1"/>
        <v>1176.0435370430484</v>
      </c>
      <c r="J63" s="202">
        <f t="shared" si="2"/>
        <v>1109009.0554315946</v>
      </c>
      <c r="K63" s="209">
        <f t="shared" si="13"/>
        <v>1110376.8301867936</v>
      </c>
      <c r="L63" s="208">
        <f t="shared" si="21"/>
        <v>-1367.7747551989742</v>
      </c>
      <c r="M63" s="205">
        <f t="shared" si="7"/>
        <v>-42.579858901756488</v>
      </c>
      <c r="N63" s="206">
        <f t="shared" si="8"/>
        <v>-1410.3546141007307</v>
      </c>
      <c r="O63" s="205">
        <f t="shared" si="9"/>
        <v>0</v>
      </c>
      <c r="P63" s="205">
        <f t="shared" si="10"/>
        <v>0</v>
      </c>
      <c r="Q63" s="205">
        <v>0</v>
      </c>
      <c r="R63" s="206">
        <f t="shared" si="11"/>
        <v>-1410.3546141007307</v>
      </c>
    </row>
    <row r="64" spans="1:18" x14ac:dyDescent="0.2">
      <c r="A64" s="160">
        <v>9</v>
      </c>
      <c r="B64" s="197">
        <f t="shared" si="4"/>
        <v>44440</v>
      </c>
      <c r="C64" s="220">
        <f t="shared" si="20"/>
        <v>44474</v>
      </c>
      <c r="D64" s="220">
        <f t="shared" si="20"/>
        <v>44494</v>
      </c>
      <c r="E64" s="54" t="s">
        <v>14</v>
      </c>
      <c r="F64" s="160">
        <v>9</v>
      </c>
      <c r="G64" s="200">
        <v>913</v>
      </c>
      <c r="H64" s="201">
        <f t="shared" si="5"/>
        <v>1177.4939874727397</v>
      </c>
      <c r="I64" s="201">
        <f t="shared" ref="I64:I107" si="22">$J$3</f>
        <v>1176.0435370430484</v>
      </c>
      <c r="J64" s="202">
        <f t="shared" si="2"/>
        <v>1073727.7493203033</v>
      </c>
      <c r="K64" s="209">
        <f t="shared" si="13"/>
        <v>1075052.0105626113</v>
      </c>
      <c r="L64" s="208">
        <f t="shared" si="21"/>
        <v>-1324.2612423079554</v>
      </c>
      <c r="M64" s="205">
        <f t="shared" si="7"/>
        <v>-41.225250453132205</v>
      </c>
      <c r="N64" s="206">
        <f t="shared" si="8"/>
        <v>-1365.4864927610877</v>
      </c>
      <c r="O64" s="205">
        <f t="shared" si="9"/>
        <v>0</v>
      </c>
      <c r="P64" s="205">
        <f t="shared" si="10"/>
        <v>0</v>
      </c>
      <c r="Q64" s="205">
        <v>0</v>
      </c>
      <c r="R64" s="206">
        <f t="shared" si="11"/>
        <v>-1365.4864927610877</v>
      </c>
    </row>
    <row r="65" spans="1:18" x14ac:dyDescent="0.2">
      <c r="A65" s="125">
        <v>10</v>
      </c>
      <c r="B65" s="197">
        <f t="shared" si="4"/>
        <v>44470</v>
      </c>
      <c r="C65" s="220">
        <f t="shared" si="20"/>
        <v>44503</v>
      </c>
      <c r="D65" s="220">
        <f t="shared" si="20"/>
        <v>44524</v>
      </c>
      <c r="E65" s="54" t="s">
        <v>14</v>
      </c>
      <c r="F65" s="160">
        <v>9</v>
      </c>
      <c r="G65" s="200">
        <v>681</v>
      </c>
      <c r="H65" s="201">
        <f t="shared" si="5"/>
        <v>1177.4939874727397</v>
      </c>
      <c r="I65" s="201">
        <f t="shared" si="22"/>
        <v>1176.0435370430484</v>
      </c>
      <c r="J65" s="202">
        <f t="shared" si="2"/>
        <v>800885.64872631594</v>
      </c>
      <c r="K65" s="209">
        <f t="shared" si="13"/>
        <v>801873.40546893573</v>
      </c>
      <c r="L65" s="208">
        <f t="shared" si="21"/>
        <v>-987.75674261979293</v>
      </c>
      <c r="M65" s="205">
        <f t="shared" si="7"/>
        <v>-30.749611783771119</v>
      </c>
      <c r="N65" s="206">
        <f t="shared" si="8"/>
        <v>-1018.506354403564</v>
      </c>
      <c r="O65" s="205">
        <f t="shared" si="9"/>
        <v>0</v>
      </c>
      <c r="P65" s="205">
        <f t="shared" si="10"/>
        <v>0</v>
      </c>
      <c r="Q65" s="205">
        <v>0</v>
      </c>
      <c r="R65" s="206">
        <f t="shared" si="11"/>
        <v>-1018.506354403564</v>
      </c>
    </row>
    <row r="66" spans="1:18" x14ac:dyDescent="0.2">
      <c r="A66" s="160">
        <v>11</v>
      </c>
      <c r="B66" s="197">
        <f t="shared" si="4"/>
        <v>44501</v>
      </c>
      <c r="C66" s="220">
        <f t="shared" si="20"/>
        <v>44533</v>
      </c>
      <c r="D66" s="220">
        <f t="shared" si="20"/>
        <v>44557</v>
      </c>
      <c r="E66" s="54" t="s">
        <v>14</v>
      </c>
      <c r="F66" s="160">
        <v>9</v>
      </c>
      <c r="G66" s="200">
        <v>652</v>
      </c>
      <c r="H66" s="201">
        <f t="shared" si="5"/>
        <v>1177.4939874727397</v>
      </c>
      <c r="I66" s="201">
        <f t="shared" si="22"/>
        <v>1176.0435370430484</v>
      </c>
      <c r="J66" s="202">
        <f t="shared" si="2"/>
        <v>766780.38615206757</v>
      </c>
      <c r="K66" s="209">
        <f t="shared" si="13"/>
        <v>767726.07983222627</v>
      </c>
      <c r="L66" s="208">
        <f t="shared" si="21"/>
        <v>-945.69368015869986</v>
      </c>
      <c r="M66" s="205">
        <f t="shared" si="7"/>
        <v>-29.440156950100981</v>
      </c>
      <c r="N66" s="206">
        <f t="shared" si="8"/>
        <v>-975.13383710880089</v>
      </c>
      <c r="O66" s="205">
        <f t="shared" si="9"/>
        <v>0</v>
      </c>
      <c r="P66" s="205">
        <f t="shared" si="10"/>
        <v>0</v>
      </c>
      <c r="Q66" s="205">
        <v>0</v>
      </c>
      <c r="R66" s="206">
        <f t="shared" si="11"/>
        <v>-975.13383710880089</v>
      </c>
    </row>
    <row r="67" spans="1:18" s="224" customFormat="1" x14ac:dyDescent="0.2">
      <c r="A67" s="160">
        <v>12</v>
      </c>
      <c r="B67" s="222">
        <f t="shared" si="4"/>
        <v>44531</v>
      </c>
      <c r="C67" s="220">
        <f t="shared" si="20"/>
        <v>44566</v>
      </c>
      <c r="D67" s="220">
        <f t="shared" si="20"/>
        <v>44585</v>
      </c>
      <c r="E67" s="223" t="s">
        <v>14</v>
      </c>
      <c r="F67" s="171">
        <v>9</v>
      </c>
      <c r="G67" s="200">
        <v>634</v>
      </c>
      <c r="H67" s="212">
        <f t="shared" si="5"/>
        <v>1177.4939874727397</v>
      </c>
      <c r="I67" s="212">
        <f t="shared" si="22"/>
        <v>1176.0435370430484</v>
      </c>
      <c r="J67" s="213">
        <f t="shared" si="2"/>
        <v>745611.60248529271</v>
      </c>
      <c r="K67" s="214">
        <f t="shared" si="13"/>
        <v>746531.18805771694</v>
      </c>
      <c r="L67" s="215">
        <f t="shared" si="21"/>
        <v>-919.5855724242283</v>
      </c>
      <c r="M67" s="205">
        <f t="shared" si="7"/>
        <v>-28.627391880926417</v>
      </c>
      <c r="N67" s="206">
        <f t="shared" si="8"/>
        <v>-948.21296430515474</v>
      </c>
      <c r="O67" s="205">
        <f t="shared" si="9"/>
        <v>0</v>
      </c>
      <c r="P67" s="205">
        <f t="shared" si="10"/>
        <v>0</v>
      </c>
      <c r="Q67" s="205">
        <v>0</v>
      </c>
      <c r="R67" s="206">
        <f t="shared" si="11"/>
        <v>-948.21296430515474</v>
      </c>
    </row>
    <row r="68" spans="1:18" x14ac:dyDescent="0.2">
      <c r="A68" s="125">
        <v>1</v>
      </c>
      <c r="B68" s="197">
        <f t="shared" si="4"/>
        <v>44197</v>
      </c>
      <c r="C68" s="217">
        <f t="shared" ref="C68:D79" si="23">+C56</f>
        <v>44230</v>
      </c>
      <c r="D68" s="217">
        <f t="shared" si="23"/>
        <v>44251</v>
      </c>
      <c r="E68" s="199" t="s">
        <v>87</v>
      </c>
      <c r="F68" s="125">
        <v>9</v>
      </c>
      <c r="G68" s="200">
        <v>38</v>
      </c>
      <c r="H68" s="201">
        <f t="shared" si="5"/>
        <v>1177.4939874727397</v>
      </c>
      <c r="I68" s="201">
        <f t="shared" si="22"/>
        <v>1176.0435370430484</v>
      </c>
      <c r="J68" s="202">
        <f t="shared" si="2"/>
        <v>44689.65440763584</v>
      </c>
      <c r="K68" s="203">
        <f t="shared" si="13"/>
        <v>44744.771523964111</v>
      </c>
      <c r="L68" s="204">
        <f t="shared" si="21"/>
        <v>-55.11711632827064</v>
      </c>
      <c r="M68" s="205">
        <f t="shared" si="7"/>
        <v>-1.7158373682574193</v>
      </c>
      <c r="N68" s="206">
        <f t="shared" si="8"/>
        <v>-56.832953696528058</v>
      </c>
      <c r="O68" s="205">
        <f t="shared" si="9"/>
        <v>0</v>
      </c>
      <c r="P68" s="205">
        <f t="shared" si="10"/>
        <v>0</v>
      </c>
      <c r="Q68" s="205">
        <v>0</v>
      </c>
      <c r="R68" s="206">
        <f t="shared" si="11"/>
        <v>-56.832953696528058</v>
      </c>
    </row>
    <row r="69" spans="1:18" x14ac:dyDescent="0.2">
      <c r="A69" s="160">
        <v>2</v>
      </c>
      <c r="B69" s="197">
        <f t="shared" si="4"/>
        <v>44228</v>
      </c>
      <c r="C69" s="220">
        <f t="shared" si="23"/>
        <v>44258</v>
      </c>
      <c r="D69" s="220">
        <f t="shared" si="23"/>
        <v>44279</v>
      </c>
      <c r="E69" s="207" t="s">
        <v>87</v>
      </c>
      <c r="F69" s="160">
        <v>9</v>
      </c>
      <c r="G69" s="200">
        <v>60</v>
      </c>
      <c r="H69" s="201">
        <f t="shared" si="5"/>
        <v>1177.4939874727397</v>
      </c>
      <c r="I69" s="201">
        <f t="shared" si="22"/>
        <v>1176.0435370430484</v>
      </c>
      <c r="J69" s="202">
        <f t="shared" si="2"/>
        <v>70562.612222582902</v>
      </c>
      <c r="K69" s="203">
        <f t="shared" si="13"/>
        <v>70649.639248364387</v>
      </c>
      <c r="L69" s="204">
        <f t="shared" si="21"/>
        <v>-87.027025781484554</v>
      </c>
      <c r="M69" s="205">
        <f t="shared" si="7"/>
        <v>-2.7092168972485569</v>
      </c>
      <c r="N69" s="206">
        <f t="shared" si="8"/>
        <v>-89.736242678733106</v>
      </c>
      <c r="O69" s="205">
        <f t="shared" si="9"/>
        <v>0</v>
      </c>
      <c r="P69" s="205">
        <f t="shared" si="10"/>
        <v>0</v>
      </c>
      <c r="Q69" s="205">
        <v>0</v>
      </c>
      <c r="R69" s="206">
        <f t="shared" si="11"/>
        <v>-89.736242678733106</v>
      </c>
    </row>
    <row r="70" spans="1:18" x14ac:dyDescent="0.2">
      <c r="A70" s="160">
        <v>3</v>
      </c>
      <c r="B70" s="197">
        <f t="shared" si="4"/>
        <v>44256</v>
      </c>
      <c r="C70" s="220">
        <f t="shared" si="23"/>
        <v>44291</v>
      </c>
      <c r="D70" s="220">
        <f t="shared" si="23"/>
        <v>44312</v>
      </c>
      <c r="E70" s="207" t="s">
        <v>87</v>
      </c>
      <c r="F70" s="160">
        <v>9</v>
      </c>
      <c r="G70" s="200">
        <v>31</v>
      </c>
      <c r="H70" s="201">
        <f t="shared" si="5"/>
        <v>1177.4939874727397</v>
      </c>
      <c r="I70" s="201">
        <f t="shared" si="22"/>
        <v>1176.0435370430484</v>
      </c>
      <c r="J70" s="202">
        <f t="shared" si="2"/>
        <v>36457.349648334501</v>
      </c>
      <c r="K70" s="203">
        <f t="shared" si="13"/>
        <v>36502.313611654929</v>
      </c>
      <c r="L70" s="204">
        <f>+J70-K70</f>
        <v>-44.963963320427865</v>
      </c>
      <c r="M70" s="205">
        <f t="shared" si="7"/>
        <v>-1.3997620635784209</v>
      </c>
      <c r="N70" s="206">
        <f t="shared" si="8"/>
        <v>-46.363725384006287</v>
      </c>
      <c r="O70" s="205">
        <f t="shared" si="9"/>
        <v>0</v>
      </c>
      <c r="P70" s="205">
        <f t="shared" si="10"/>
        <v>0</v>
      </c>
      <c r="Q70" s="205">
        <v>0</v>
      </c>
      <c r="R70" s="206">
        <f t="shared" si="11"/>
        <v>-46.363725384006287</v>
      </c>
    </row>
    <row r="71" spans="1:18" x14ac:dyDescent="0.2">
      <c r="A71" s="125">
        <v>4</v>
      </c>
      <c r="B71" s="197">
        <f t="shared" si="4"/>
        <v>44287</v>
      </c>
      <c r="C71" s="220">
        <f t="shared" si="23"/>
        <v>44321</v>
      </c>
      <c r="D71" s="220">
        <f t="shared" si="23"/>
        <v>44340</v>
      </c>
      <c r="E71" s="207" t="s">
        <v>87</v>
      </c>
      <c r="F71" s="160">
        <v>9</v>
      </c>
      <c r="G71" s="200">
        <v>20</v>
      </c>
      <c r="H71" s="201">
        <f t="shared" si="5"/>
        <v>1177.4939874727397</v>
      </c>
      <c r="I71" s="201">
        <f t="shared" si="22"/>
        <v>1176.0435370430484</v>
      </c>
      <c r="J71" s="202">
        <f t="shared" si="2"/>
        <v>23520.87074086097</v>
      </c>
      <c r="K71" s="203">
        <f t="shared" si="13"/>
        <v>23549.879749454794</v>
      </c>
      <c r="L71" s="204">
        <f t="shared" ref="L71:L79" si="24">+J71-K71</f>
        <v>-29.009008593824547</v>
      </c>
      <c r="M71" s="205">
        <f t="shared" si="7"/>
        <v>-0.90307229908285225</v>
      </c>
      <c r="N71" s="206">
        <f t="shared" si="8"/>
        <v>-29.912080892907397</v>
      </c>
      <c r="O71" s="205">
        <f t="shared" si="9"/>
        <v>0</v>
      </c>
      <c r="P71" s="205">
        <f t="shared" si="10"/>
        <v>0</v>
      </c>
      <c r="Q71" s="205">
        <v>0</v>
      </c>
      <c r="R71" s="206">
        <f t="shared" si="11"/>
        <v>-29.912080892907397</v>
      </c>
    </row>
    <row r="72" spans="1:18" x14ac:dyDescent="0.2">
      <c r="A72" s="160">
        <v>5</v>
      </c>
      <c r="B72" s="197">
        <f t="shared" si="4"/>
        <v>44317</v>
      </c>
      <c r="C72" s="220">
        <f t="shared" si="23"/>
        <v>44350</v>
      </c>
      <c r="D72" s="220">
        <f t="shared" si="23"/>
        <v>44371</v>
      </c>
      <c r="E72" s="207" t="s">
        <v>87</v>
      </c>
      <c r="F72" s="160">
        <v>9</v>
      </c>
      <c r="G72" s="200">
        <v>28</v>
      </c>
      <c r="H72" s="201">
        <f t="shared" si="5"/>
        <v>1177.4939874727397</v>
      </c>
      <c r="I72" s="201">
        <f t="shared" si="22"/>
        <v>1176.0435370430484</v>
      </c>
      <c r="J72" s="202">
        <f t="shared" si="2"/>
        <v>32929.219037205359</v>
      </c>
      <c r="K72" s="203">
        <f t="shared" si="13"/>
        <v>32969.831649236716</v>
      </c>
      <c r="L72" s="204">
        <f t="shared" si="24"/>
        <v>-40.612612031356548</v>
      </c>
      <c r="M72" s="205">
        <f t="shared" si="7"/>
        <v>-1.2643012187159932</v>
      </c>
      <c r="N72" s="206">
        <f t="shared" si="8"/>
        <v>-41.876913250072541</v>
      </c>
      <c r="O72" s="205">
        <f t="shared" si="9"/>
        <v>0</v>
      </c>
      <c r="P72" s="205">
        <f t="shared" si="10"/>
        <v>0</v>
      </c>
      <c r="Q72" s="205">
        <v>0</v>
      </c>
      <c r="R72" s="206">
        <f t="shared" si="11"/>
        <v>-41.876913250072541</v>
      </c>
    </row>
    <row r="73" spans="1:18" x14ac:dyDescent="0.2">
      <c r="A73" s="160">
        <v>6</v>
      </c>
      <c r="B73" s="197">
        <f t="shared" si="4"/>
        <v>44348</v>
      </c>
      <c r="C73" s="220">
        <f t="shared" si="23"/>
        <v>44383</v>
      </c>
      <c r="D73" s="220">
        <f t="shared" si="23"/>
        <v>44401</v>
      </c>
      <c r="E73" s="207" t="s">
        <v>87</v>
      </c>
      <c r="F73" s="160">
        <v>9</v>
      </c>
      <c r="G73" s="200">
        <v>45</v>
      </c>
      <c r="H73" s="201">
        <f t="shared" si="5"/>
        <v>1177.4939874727397</v>
      </c>
      <c r="I73" s="201">
        <f t="shared" si="22"/>
        <v>1176.0435370430484</v>
      </c>
      <c r="J73" s="202">
        <f t="shared" si="2"/>
        <v>52921.95916693718</v>
      </c>
      <c r="K73" s="203">
        <f t="shared" si="13"/>
        <v>52987.229436273286</v>
      </c>
      <c r="L73" s="208">
        <f t="shared" si="24"/>
        <v>-65.270269336106139</v>
      </c>
      <c r="M73" s="205">
        <f t="shared" si="7"/>
        <v>-2.0319126729364174</v>
      </c>
      <c r="N73" s="206">
        <f t="shared" si="8"/>
        <v>-67.302182009042554</v>
      </c>
      <c r="O73" s="205">
        <f t="shared" si="9"/>
        <v>0</v>
      </c>
      <c r="P73" s="205">
        <f t="shared" si="10"/>
        <v>0</v>
      </c>
      <c r="Q73" s="205">
        <v>0</v>
      </c>
      <c r="R73" s="206">
        <f t="shared" si="11"/>
        <v>-67.302182009042554</v>
      </c>
    </row>
    <row r="74" spans="1:18" x14ac:dyDescent="0.2">
      <c r="A74" s="125">
        <v>7</v>
      </c>
      <c r="B74" s="197">
        <f t="shared" si="4"/>
        <v>44378</v>
      </c>
      <c r="C74" s="220">
        <f t="shared" si="23"/>
        <v>44412</v>
      </c>
      <c r="D74" s="220">
        <f t="shared" si="23"/>
        <v>44432</v>
      </c>
      <c r="E74" s="207" t="s">
        <v>87</v>
      </c>
      <c r="F74" s="160">
        <v>9</v>
      </c>
      <c r="G74" s="200">
        <v>53</v>
      </c>
      <c r="H74" s="201">
        <f t="shared" si="5"/>
        <v>1177.4939874727397</v>
      </c>
      <c r="I74" s="201">
        <f t="shared" si="22"/>
        <v>1176.0435370430484</v>
      </c>
      <c r="J74" s="202">
        <f t="shared" si="2"/>
        <v>62330.30746328157</v>
      </c>
      <c r="K74" s="209">
        <f t="shared" si="13"/>
        <v>62407.181336055204</v>
      </c>
      <c r="L74" s="208">
        <f t="shared" si="24"/>
        <v>-76.873872773634503</v>
      </c>
      <c r="M74" s="205">
        <f t="shared" si="7"/>
        <v>-2.3931415925695587</v>
      </c>
      <c r="N74" s="206">
        <f t="shared" si="8"/>
        <v>-79.267014366204066</v>
      </c>
      <c r="O74" s="205">
        <f t="shared" si="9"/>
        <v>0</v>
      </c>
      <c r="P74" s="205">
        <f t="shared" si="10"/>
        <v>0</v>
      </c>
      <c r="Q74" s="205">
        <v>0</v>
      </c>
      <c r="R74" s="206">
        <f t="shared" si="11"/>
        <v>-79.267014366204066</v>
      </c>
    </row>
    <row r="75" spans="1:18" x14ac:dyDescent="0.2">
      <c r="A75" s="160">
        <v>8</v>
      </c>
      <c r="B75" s="197">
        <f t="shared" si="4"/>
        <v>44409</v>
      </c>
      <c r="C75" s="220">
        <f t="shared" si="23"/>
        <v>44442</v>
      </c>
      <c r="D75" s="220">
        <f t="shared" si="23"/>
        <v>44463</v>
      </c>
      <c r="E75" s="207" t="s">
        <v>87</v>
      </c>
      <c r="F75" s="160">
        <v>9</v>
      </c>
      <c r="G75" s="200">
        <v>50</v>
      </c>
      <c r="H75" s="201">
        <f t="shared" si="5"/>
        <v>1177.4939874727397</v>
      </c>
      <c r="I75" s="201">
        <f t="shared" si="22"/>
        <v>1176.0435370430484</v>
      </c>
      <c r="J75" s="202">
        <f t="shared" si="2"/>
        <v>58802.176852152421</v>
      </c>
      <c r="K75" s="209">
        <f t="shared" si="13"/>
        <v>58874.699373636984</v>
      </c>
      <c r="L75" s="208">
        <f t="shared" si="24"/>
        <v>-72.522521484563185</v>
      </c>
      <c r="M75" s="205">
        <f t="shared" si="7"/>
        <v>-2.257680747707131</v>
      </c>
      <c r="N75" s="206">
        <f t="shared" si="8"/>
        <v>-74.780202232270312</v>
      </c>
      <c r="O75" s="205">
        <f t="shared" si="9"/>
        <v>0</v>
      </c>
      <c r="P75" s="205">
        <f t="shared" si="10"/>
        <v>0</v>
      </c>
      <c r="Q75" s="205">
        <v>0</v>
      </c>
      <c r="R75" s="206">
        <f t="shared" si="11"/>
        <v>-74.780202232270312</v>
      </c>
    </row>
    <row r="76" spans="1:18" x14ac:dyDescent="0.2">
      <c r="A76" s="160">
        <v>9</v>
      </c>
      <c r="B76" s="197">
        <f t="shared" si="4"/>
        <v>44440</v>
      </c>
      <c r="C76" s="220">
        <f t="shared" si="23"/>
        <v>44474</v>
      </c>
      <c r="D76" s="220">
        <f t="shared" si="23"/>
        <v>44494</v>
      </c>
      <c r="E76" s="207" t="s">
        <v>87</v>
      </c>
      <c r="F76" s="160">
        <v>9</v>
      </c>
      <c r="G76" s="200">
        <v>49</v>
      </c>
      <c r="H76" s="201">
        <f t="shared" si="5"/>
        <v>1177.4939874727397</v>
      </c>
      <c r="I76" s="201">
        <f t="shared" si="22"/>
        <v>1176.0435370430484</v>
      </c>
      <c r="J76" s="202">
        <f t="shared" si="2"/>
        <v>57626.133315109371</v>
      </c>
      <c r="K76" s="209">
        <f t="shared" si="13"/>
        <v>57697.205386164249</v>
      </c>
      <c r="L76" s="208">
        <f t="shared" si="24"/>
        <v>-71.072071054877597</v>
      </c>
      <c r="M76" s="205">
        <f t="shared" si="7"/>
        <v>-2.2125271327529883</v>
      </c>
      <c r="N76" s="206">
        <f t="shared" si="8"/>
        <v>-73.284598187630579</v>
      </c>
      <c r="O76" s="205">
        <f t="shared" si="9"/>
        <v>0</v>
      </c>
      <c r="P76" s="205">
        <f t="shared" si="10"/>
        <v>0</v>
      </c>
      <c r="Q76" s="205">
        <v>0</v>
      </c>
      <c r="R76" s="206">
        <f t="shared" si="11"/>
        <v>-73.284598187630579</v>
      </c>
    </row>
    <row r="77" spans="1:18" x14ac:dyDescent="0.2">
      <c r="A77" s="125">
        <v>10</v>
      </c>
      <c r="B77" s="197">
        <f t="shared" si="4"/>
        <v>44470</v>
      </c>
      <c r="C77" s="220">
        <f t="shared" si="23"/>
        <v>44503</v>
      </c>
      <c r="D77" s="220">
        <f t="shared" si="23"/>
        <v>44524</v>
      </c>
      <c r="E77" s="207" t="s">
        <v>87</v>
      </c>
      <c r="F77" s="160">
        <v>9</v>
      </c>
      <c r="G77" s="200">
        <v>38</v>
      </c>
      <c r="H77" s="201">
        <f t="shared" si="5"/>
        <v>1177.4939874727397</v>
      </c>
      <c r="I77" s="201">
        <f t="shared" si="22"/>
        <v>1176.0435370430484</v>
      </c>
      <c r="J77" s="202">
        <f t="shared" si="2"/>
        <v>44689.65440763584</v>
      </c>
      <c r="K77" s="209">
        <f t="shared" si="13"/>
        <v>44744.771523964111</v>
      </c>
      <c r="L77" s="208">
        <f t="shared" si="24"/>
        <v>-55.11711632827064</v>
      </c>
      <c r="M77" s="205">
        <f t="shared" si="7"/>
        <v>-1.7158373682574193</v>
      </c>
      <c r="N77" s="206">
        <f t="shared" si="8"/>
        <v>-56.832953696528058</v>
      </c>
      <c r="O77" s="205">
        <f t="shared" si="9"/>
        <v>0</v>
      </c>
      <c r="P77" s="205">
        <f t="shared" si="10"/>
        <v>0</v>
      </c>
      <c r="Q77" s="205">
        <v>0</v>
      </c>
      <c r="R77" s="206">
        <f t="shared" si="11"/>
        <v>-56.832953696528058</v>
      </c>
    </row>
    <row r="78" spans="1:18" x14ac:dyDescent="0.2">
      <c r="A78" s="160">
        <v>11</v>
      </c>
      <c r="B78" s="197">
        <f t="shared" si="4"/>
        <v>44501</v>
      </c>
      <c r="C78" s="220">
        <f t="shared" si="23"/>
        <v>44533</v>
      </c>
      <c r="D78" s="220">
        <f t="shared" si="23"/>
        <v>44557</v>
      </c>
      <c r="E78" s="207" t="s">
        <v>87</v>
      </c>
      <c r="F78" s="160">
        <v>9</v>
      </c>
      <c r="G78" s="200">
        <v>32</v>
      </c>
      <c r="H78" s="201">
        <f t="shared" si="5"/>
        <v>1177.4939874727397</v>
      </c>
      <c r="I78" s="201">
        <f t="shared" si="22"/>
        <v>1176.0435370430484</v>
      </c>
      <c r="J78" s="202">
        <f t="shared" si="2"/>
        <v>37633.39318537755</v>
      </c>
      <c r="K78" s="209">
        <f>+$G78*H78</f>
        <v>37679.807599127671</v>
      </c>
      <c r="L78" s="208">
        <f t="shared" si="24"/>
        <v>-46.41441375012073</v>
      </c>
      <c r="M78" s="205">
        <f t="shared" si="7"/>
        <v>-1.4449156785325634</v>
      </c>
      <c r="N78" s="206">
        <f t="shared" si="8"/>
        <v>-47.859329428653297</v>
      </c>
      <c r="O78" s="205">
        <f t="shared" si="9"/>
        <v>0</v>
      </c>
      <c r="P78" s="205">
        <f t="shared" si="10"/>
        <v>0</v>
      </c>
      <c r="Q78" s="205">
        <v>0</v>
      </c>
      <c r="R78" s="206">
        <f t="shared" si="11"/>
        <v>-47.859329428653297</v>
      </c>
    </row>
    <row r="79" spans="1:18" s="224" customFormat="1" x14ac:dyDescent="0.2">
      <c r="A79" s="160">
        <v>12</v>
      </c>
      <c r="B79" s="222">
        <f t="shared" si="4"/>
        <v>44531</v>
      </c>
      <c r="C79" s="225">
        <f t="shared" si="23"/>
        <v>44566</v>
      </c>
      <c r="D79" s="225">
        <f t="shared" si="23"/>
        <v>44585</v>
      </c>
      <c r="E79" s="226" t="s">
        <v>87</v>
      </c>
      <c r="F79" s="171">
        <v>9</v>
      </c>
      <c r="G79" s="200">
        <v>31</v>
      </c>
      <c r="H79" s="212">
        <f t="shared" si="5"/>
        <v>1177.4939874727397</v>
      </c>
      <c r="I79" s="212">
        <f t="shared" si="22"/>
        <v>1176.0435370430484</v>
      </c>
      <c r="J79" s="213">
        <f t="shared" si="2"/>
        <v>36457.349648334501</v>
      </c>
      <c r="K79" s="214">
        <f>+$G79*H79</f>
        <v>36502.313611654929</v>
      </c>
      <c r="L79" s="215">
        <f t="shared" si="24"/>
        <v>-44.963963320427865</v>
      </c>
      <c r="M79" s="205">
        <f t="shared" si="7"/>
        <v>-1.3997620635784209</v>
      </c>
      <c r="N79" s="206">
        <f t="shared" si="8"/>
        <v>-46.363725384006287</v>
      </c>
      <c r="O79" s="205">
        <f t="shared" si="9"/>
        <v>0</v>
      </c>
      <c r="P79" s="205">
        <f t="shared" si="10"/>
        <v>0</v>
      </c>
      <c r="Q79" s="205">
        <v>0</v>
      </c>
      <c r="R79" s="206">
        <f t="shared" si="11"/>
        <v>-46.363725384006287</v>
      </c>
    </row>
    <row r="80" spans="1:18" s="52" customFormat="1" ht="12.75" customHeight="1" x14ac:dyDescent="0.2">
      <c r="A80" s="125">
        <v>1</v>
      </c>
      <c r="B80" s="197">
        <f t="shared" si="4"/>
        <v>44197</v>
      </c>
      <c r="C80" s="217">
        <f t="shared" ref="C80:D91" si="25">+C56</f>
        <v>44230</v>
      </c>
      <c r="D80" s="217">
        <f t="shared" si="25"/>
        <v>44251</v>
      </c>
      <c r="E80" s="199" t="s">
        <v>9</v>
      </c>
      <c r="F80" s="125">
        <v>9</v>
      </c>
      <c r="G80" s="200">
        <v>43</v>
      </c>
      <c r="H80" s="201">
        <f t="shared" si="5"/>
        <v>1177.4939874727397</v>
      </c>
      <c r="I80" s="201">
        <f t="shared" si="22"/>
        <v>1176.0435370430484</v>
      </c>
      <c r="J80" s="202">
        <f t="shared" si="2"/>
        <v>50569.872092851081</v>
      </c>
      <c r="K80" s="203">
        <f t="shared" si="13"/>
        <v>50632.241461327809</v>
      </c>
      <c r="L80" s="204">
        <f t="shared" si="21"/>
        <v>-62.369368476727686</v>
      </c>
      <c r="M80" s="205">
        <f t="shared" si="7"/>
        <v>-1.9416054430281322</v>
      </c>
      <c r="N80" s="206">
        <f t="shared" si="8"/>
        <v>-64.310973919755824</v>
      </c>
      <c r="O80" s="205">
        <f t="shared" si="9"/>
        <v>0</v>
      </c>
      <c r="P80" s="205">
        <f t="shared" si="10"/>
        <v>0</v>
      </c>
      <c r="Q80" s="205">
        <v>0</v>
      </c>
      <c r="R80" s="206">
        <f t="shared" si="11"/>
        <v>-64.310973919755824</v>
      </c>
    </row>
    <row r="81" spans="1:18" x14ac:dyDescent="0.2">
      <c r="A81" s="160">
        <v>2</v>
      </c>
      <c r="B81" s="197">
        <f t="shared" si="4"/>
        <v>44228</v>
      </c>
      <c r="C81" s="220">
        <f t="shared" si="25"/>
        <v>44258</v>
      </c>
      <c r="D81" s="220">
        <f t="shared" si="25"/>
        <v>44279</v>
      </c>
      <c r="E81" s="207" t="s">
        <v>9</v>
      </c>
      <c r="F81" s="160">
        <v>9</v>
      </c>
      <c r="G81" s="200">
        <v>48</v>
      </c>
      <c r="H81" s="201">
        <f t="shared" si="5"/>
        <v>1177.4939874727397</v>
      </c>
      <c r="I81" s="201">
        <f t="shared" si="22"/>
        <v>1176.0435370430484</v>
      </c>
      <c r="J81" s="202">
        <f t="shared" si="2"/>
        <v>56450.089778066322</v>
      </c>
      <c r="K81" s="203">
        <f t="shared" si="13"/>
        <v>56519.711398691506</v>
      </c>
      <c r="L81" s="204">
        <f t="shared" si="21"/>
        <v>-69.621620625184732</v>
      </c>
      <c r="M81" s="205">
        <f t="shared" si="7"/>
        <v>-2.1673735177988456</v>
      </c>
      <c r="N81" s="206">
        <f t="shared" si="8"/>
        <v>-71.788994142983583</v>
      </c>
      <c r="O81" s="205">
        <f t="shared" si="9"/>
        <v>0</v>
      </c>
      <c r="P81" s="205">
        <f t="shared" si="10"/>
        <v>0</v>
      </c>
      <c r="Q81" s="205">
        <v>0</v>
      </c>
      <c r="R81" s="206">
        <f t="shared" si="11"/>
        <v>-71.788994142983583</v>
      </c>
    </row>
    <row r="82" spans="1:18" x14ac:dyDescent="0.2">
      <c r="A82" s="160">
        <v>3</v>
      </c>
      <c r="B82" s="197">
        <f t="shared" si="4"/>
        <v>44256</v>
      </c>
      <c r="C82" s="220">
        <f t="shared" si="25"/>
        <v>44291</v>
      </c>
      <c r="D82" s="220">
        <f t="shared" si="25"/>
        <v>44312</v>
      </c>
      <c r="E82" s="207" t="s">
        <v>9</v>
      </c>
      <c r="F82" s="160">
        <v>9</v>
      </c>
      <c r="G82" s="200">
        <v>35</v>
      </c>
      <c r="H82" s="201">
        <f t="shared" si="5"/>
        <v>1177.4939874727397</v>
      </c>
      <c r="I82" s="201">
        <f t="shared" si="22"/>
        <v>1176.0435370430484</v>
      </c>
      <c r="J82" s="202">
        <f t="shared" si="2"/>
        <v>41161.523796506699</v>
      </c>
      <c r="K82" s="203">
        <f t="shared" si="13"/>
        <v>41212.289561545891</v>
      </c>
      <c r="L82" s="204">
        <f>+J82-K82</f>
        <v>-50.765765039192047</v>
      </c>
      <c r="M82" s="205">
        <f t="shared" si="7"/>
        <v>-1.5803765233949916</v>
      </c>
      <c r="N82" s="206">
        <f t="shared" si="8"/>
        <v>-52.346141562587036</v>
      </c>
      <c r="O82" s="205">
        <f t="shared" si="9"/>
        <v>0</v>
      </c>
      <c r="P82" s="205">
        <f t="shared" si="10"/>
        <v>0</v>
      </c>
      <c r="Q82" s="205">
        <v>0</v>
      </c>
      <c r="R82" s="206">
        <f t="shared" si="11"/>
        <v>-52.346141562587036</v>
      </c>
    </row>
    <row r="83" spans="1:18" ht="12" customHeight="1" x14ac:dyDescent="0.2">
      <c r="A83" s="125">
        <v>4</v>
      </c>
      <c r="B83" s="197">
        <f t="shared" si="4"/>
        <v>44287</v>
      </c>
      <c r="C83" s="220">
        <f t="shared" si="25"/>
        <v>44321</v>
      </c>
      <c r="D83" s="220">
        <f t="shared" si="25"/>
        <v>44340</v>
      </c>
      <c r="E83" s="54" t="s">
        <v>9</v>
      </c>
      <c r="F83" s="160">
        <v>9</v>
      </c>
      <c r="G83" s="200">
        <v>29</v>
      </c>
      <c r="H83" s="201">
        <f t="shared" si="5"/>
        <v>1177.4939874727397</v>
      </c>
      <c r="I83" s="201">
        <f t="shared" si="22"/>
        <v>1176.0435370430484</v>
      </c>
      <c r="J83" s="202">
        <f t="shared" si="2"/>
        <v>34105.262574248402</v>
      </c>
      <c r="K83" s="203">
        <f t="shared" si="13"/>
        <v>34147.325636709451</v>
      </c>
      <c r="L83" s="204">
        <f t="shared" ref="L83:L93" si="26">+J83-K83</f>
        <v>-42.063062461049412</v>
      </c>
      <c r="M83" s="205">
        <f t="shared" si="7"/>
        <v>-1.3094548336701357</v>
      </c>
      <c r="N83" s="206">
        <f t="shared" si="8"/>
        <v>-43.37251729471955</v>
      </c>
      <c r="O83" s="205">
        <f t="shared" si="9"/>
        <v>0</v>
      </c>
      <c r="P83" s="205">
        <f t="shared" si="10"/>
        <v>0</v>
      </c>
      <c r="Q83" s="205">
        <v>0</v>
      </c>
      <c r="R83" s="206">
        <f t="shared" si="11"/>
        <v>-43.37251729471955</v>
      </c>
    </row>
    <row r="84" spans="1:18" ht="12" customHeight="1" x14ac:dyDescent="0.2">
      <c r="A84" s="160">
        <v>5</v>
      </c>
      <c r="B84" s="197">
        <f t="shared" si="4"/>
        <v>44317</v>
      </c>
      <c r="C84" s="220">
        <f t="shared" si="25"/>
        <v>44350</v>
      </c>
      <c r="D84" s="220">
        <f t="shared" si="25"/>
        <v>44371</v>
      </c>
      <c r="E84" s="54" t="s">
        <v>9</v>
      </c>
      <c r="F84" s="160">
        <v>9</v>
      </c>
      <c r="G84" s="200">
        <v>34</v>
      </c>
      <c r="H84" s="201">
        <f t="shared" si="5"/>
        <v>1177.4939874727397</v>
      </c>
      <c r="I84" s="201">
        <f t="shared" si="22"/>
        <v>1176.0435370430484</v>
      </c>
      <c r="J84" s="202">
        <f t="shared" si="2"/>
        <v>39985.480259463649</v>
      </c>
      <c r="K84" s="203">
        <f t="shared" si="13"/>
        <v>40034.795574073149</v>
      </c>
      <c r="L84" s="204">
        <f t="shared" si="26"/>
        <v>-49.315314609499183</v>
      </c>
      <c r="M84" s="205">
        <f t="shared" si="7"/>
        <v>-1.5352229084408489</v>
      </c>
      <c r="N84" s="206">
        <f t="shared" si="8"/>
        <v>-50.850537517940033</v>
      </c>
      <c r="O84" s="205">
        <f t="shared" si="9"/>
        <v>0</v>
      </c>
      <c r="P84" s="205">
        <f t="shared" si="10"/>
        <v>0</v>
      </c>
      <c r="Q84" s="205">
        <v>0</v>
      </c>
      <c r="R84" s="206">
        <f t="shared" si="11"/>
        <v>-50.850537517940033</v>
      </c>
    </row>
    <row r="85" spans="1:18" x14ac:dyDescent="0.2">
      <c r="A85" s="160">
        <v>6</v>
      </c>
      <c r="B85" s="197">
        <f t="shared" si="4"/>
        <v>44348</v>
      </c>
      <c r="C85" s="220">
        <f t="shared" si="25"/>
        <v>44383</v>
      </c>
      <c r="D85" s="220">
        <f t="shared" si="25"/>
        <v>44401</v>
      </c>
      <c r="E85" s="54" t="s">
        <v>9</v>
      </c>
      <c r="F85" s="160">
        <v>9</v>
      </c>
      <c r="G85" s="200">
        <v>45</v>
      </c>
      <c r="H85" s="201">
        <f t="shared" ref="H85:H148" si="27">+$K$3</f>
        <v>1177.4939874727397</v>
      </c>
      <c r="I85" s="201">
        <f t="shared" si="22"/>
        <v>1176.0435370430484</v>
      </c>
      <c r="J85" s="202">
        <f t="shared" si="2"/>
        <v>52921.95916693718</v>
      </c>
      <c r="K85" s="203">
        <f t="shared" si="13"/>
        <v>52987.229436273286</v>
      </c>
      <c r="L85" s="208">
        <f t="shared" si="26"/>
        <v>-65.270269336106139</v>
      </c>
      <c r="M85" s="205">
        <f t="shared" ref="M85:M148" si="28">G85/$G$212*$M$14</f>
        <v>-2.0319126729364174</v>
      </c>
      <c r="N85" s="206">
        <f t="shared" ref="N85:N148" si="29">SUM(L85:M85)</f>
        <v>-67.302182009042554</v>
      </c>
      <c r="O85" s="205">
        <f t="shared" ref="O85:O148" si="30">+$P$3</f>
        <v>0</v>
      </c>
      <c r="P85" s="205">
        <f t="shared" ref="P85:P148" si="31">+G85*O85</f>
        <v>0</v>
      </c>
      <c r="Q85" s="205">
        <v>0</v>
      </c>
      <c r="R85" s="206">
        <f t="shared" ref="R85:R148" si="32">+N85-Q85</f>
        <v>-67.302182009042554</v>
      </c>
    </row>
    <row r="86" spans="1:18" x14ac:dyDescent="0.2">
      <c r="A86" s="125">
        <v>7</v>
      </c>
      <c r="B86" s="197">
        <f t="shared" si="4"/>
        <v>44378</v>
      </c>
      <c r="C86" s="220">
        <f t="shared" si="25"/>
        <v>44412</v>
      </c>
      <c r="D86" s="220">
        <f t="shared" si="25"/>
        <v>44432</v>
      </c>
      <c r="E86" s="54" t="s">
        <v>9</v>
      </c>
      <c r="F86" s="160">
        <v>9</v>
      </c>
      <c r="G86" s="200">
        <v>48</v>
      </c>
      <c r="H86" s="201">
        <f t="shared" si="27"/>
        <v>1177.4939874727397</v>
      </c>
      <c r="I86" s="201">
        <f t="shared" si="22"/>
        <v>1176.0435370430484</v>
      </c>
      <c r="J86" s="202">
        <f t="shared" si="2"/>
        <v>56450.089778066322</v>
      </c>
      <c r="K86" s="209">
        <f t="shared" si="13"/>
        <v>56519.711398691506</v>
      </c>
      <c r="L86" s="208">
        <f t="shared" si="26"/>
        <v>-69.621620625184732</v>
      </c>
      <c r="M86" s="205">
        <f t="shared" si="28"/>
        <v>-2.1673735177988456</v>
      </c>
      <c r="N86" s="206">
        <f t="shared" si="29"/>
        <v>-71.788994142983583</v>
      </c>
      <c r="O86" s="205">
        <f t="shared" si="30"/>
        <v>0</v>
      </c>
      <c r="P86" s="205">
        <f t="shared" si="31"/>
        <v>0</v>
      </c>
      <c r="Q86" s="205">
        <v>0</v>
      </c>
      <c r="R86" s="206">
        <f t="shared" si="32"/>
        <v>-71.788994142983583</v>
      </c>
    </row>
    <row r="87" spans="1:18" x14ac:dyDescent="0.2">
      <c r="A87" s="160">
        <v>8</v>
      </c>
      <c r="B87" s="197">
        <f t="shared" si="4"/>
        <v>44409</v>
      </c>
      <c r="C87" s="220">
        <f t="shared" si="25"/>
        <v>44442</v>
      </c>
      <c r="D87" s="220">
        <f t="shared" si="25"/>
        <v>44463</v>
      </c>
      <c r="E87" s="54" t="s">
        <v>9</v>
      </c>
      <c r="F87" s="160">
        <v>9</v>
      </c>
      <c r="G87" s="200">
        <v>46</v>
      </c>
      <c r="H87" s="201">
        <f t="shared" si="27"/>
        <v>1177.4939874727397</v>
      </c>
      <c r="I87" s="201">
        <f t="shared" si="22"/>
        <v>1176.0435370430484</v>
      </c>
      <c r="J87" s="202">
        <f t="shared" si="2"/>
        <v>54098.00270398023</v>
      </c>
      <c r="K87" s="209">
        <f t="shared" si="13"/>
        <v>54164.723423746029</v>
      </c>
      <c r="L87" s="208">
        <f t="shared" si="26"/>
        <v>-66.720719765799004</v>
      </c>
      <c r="M87" s="205">
        <f t="shared" si="28"/>
        <v>-2.0770662878905601</v>
      </c>
      <c r="N87" s="206">
        <f t="shared" si="29"/>
        <v>-68.797786053689563</v>
      </c>
      <c r="O87" s="205">
        <f t="shared" si="30"/>
        <v>0</v>
      </c>
      <c r="P87" s="205">
        <f t="shared" si="31"/>
        <v>0</v>
      </c>
      <c r="Q87" s="205">
        <v>0</v>
      </c>
      <c r="R87" s="206">
        <f t="shared" si="32"/>
        <v>-68.797786053689563</v>
      </c>
    </row>
    <row r="88" spans="1:18" x14ac:dyDescent="0.2">
      <c r="A88" s="160">
        <v>9</v>
      </c>
      <c r="B88" s="197">
        <f t="shared" si="4"/>
        <v>44440</v>
      </c>
      <c r="C88" s="220">
        <f t="shared" si="25"/>
        <v>44474</v>
      </c>
      <c r="D88" s="220">
        <f t="shared" si="25"/>
        <v>44494</v>
      </c>
      <c r="E88" s="54" t="s">
        <v>9</v>
      </c>
      <c r="F88" s="160">
        <v>9</v>
      </c>
      <c r="G88" s="200">
        <v>46</v>
      </c>
      <c r="H88" s="201">
        <f t="shared" si="27"/>
        <v>1177.4939874727397</v>
      </c>
      <c r="I88" s="201">
        <f t="shared" si="22"/>
        <v>1176.0435370430484</v>
      </c>
      <c r="J88" s="202">
        <f t="shared" si="2"/>
        <v>54098.00270398023</v>
      </c>
      <c r="K88" s="209">
        <f t="shared" si="13"/>
        <v>54164.723423746029</v>
      </c>
      <c r="L88" s="208">
        <f t="shared" si="26"/>
        <v>-66.720719765799004</v>
      </c>
      <c r="M88" s="205">
        <f t="shared" si="28"/>
        <v>-2.0770662878905601</v>
      </c>
      <c r="N88" s="206">
        <f t="shared" si="29"/>
        <v>-68.797786053689563</v>
      </c>
      <c r="O88" s="205">
        <f t="shared" si="30"/>
        <v>0</v>
      </c>
      <c r="P88" s="205">
        <f t="shared" si="31"/>
        <v>0</v>
      </c>
      <c r="Q88" s="205">
        <v>0</v>
      </c>
      <c r="R88" s="206">
        <f t="shared" si="32"/>
        <v>-68.797786053689563</v>
      </c>
    </row>
    <row r="89" spans="1:18" x14ac:dyDescent="0.2">
      <c r="A89" s="125">
        <v>10</v>
      </c>
      <c r="B89" s="197">
        <f t="shared" si="4"/>
        <v>44470</v>
      </c>
      <c r="C89" s="220">
        <f t="shared" si="25"/>
        <v>44503</v>
      </c>
      <c r="D89" s="220">
        <f t="shared" si="25"/>
        <v>44524</v>
      </c>
      <c r="E89" s="54" t="s">
        <v>9</v>
      </c>
      <c r="F89" s="160">
        <v>9</v>
      </c>
      <c r="G89" s="200">
        <v>41</v>
      </c>
      <c r="H89" s="201">
        <f t="shared" si="27"/>
        <v>1177.4939874727397</v>
      </c>
      <c r="I89" s="201">
        <f t="shared" si="22"/>
        <v>1176.0435370430484</v>
      </c>
      <c r="J89" s="202">
        <f t="shared" si="2"/>
        <v>48217.785018764989</v>
      </c>
      <c r="K89" s="209">
        <f t="shared" si="13"/>
        <v>48277.253486382331</v>
      </c>
      <c r="L89" s="208">
        <f t="shared" si="26"/>
        <v>-59.468467617341958</v>
      </c>
      <c r="M89" s="205">
        <f t="shared" si="28"/>
        <v>-1.851298213119847</v>
      </c>
      <c r="N89" s="206">
        <f t="shared" si="29"/>
        <v>-61.319765830461805</v>
      </c>
      <c r="O89" s="205">
        <f t="shared" si="30"/>
        <v>0</v>
      </c>
      <c r="P89" s="205">
        <f t="shared" si="31"/>
        <v>0</v>
      </c>
      <c r="Q89" s="205">
        <v>0</v>
      </c>
      <c r="R89" s="206">
        <f t="shared" si="32"/>
        <v>-61.319765830461805</v>
      </c>
    </row>
    <row r="90" spans="1:18" x14ac:dyDescent="0.2">
      <c r="A90" s="160">
        <v>11</v>
      </c>
      <c r="B90" s="197">
        <f t="shared" si="4"/>
        <v>44501</v>
      </c>
      <c r="C90" s="220">
        <f t="shared" si="25"/>
        <v>44533</v>
      </c>
      <c r="D90" s="220">
        <f t="shared" si="25"/>
        <v>44557</v>
      </c>
      <c r="E90" s="54" t="s">
        <v>9</v>
      </c>
      <c r="F90" s="160">
        <v>9</v>
      </c>
      <c r="G90" s="200">
        <v>40</v>
      </c>
      <c r="H90" s="201">
        <f t="shared" si="27"/>
        <v>1177.4939874727397</v>
      </c>
      <c r="I90" s="201">
        <f t="shared" si="22"/>
        <v>1176.0435370430484</v>
      </c>
      <c r="J90" s="202">
        <f t="shared" si="2"/>
        <v>47041.74148172194</v>
      </c>
      <c r="K90" s="209">
        <f t="shared" si="13"/>
        <v>47099.759498909589</v>
      </c>
      <c r="L90" s="208">
        <f t="shared" si="26"/>
        <v>-58.018017187649093</v>
      </c>
      <c r="M90" s="205">
        <f t="shared" si="28"/>
        <v>-1.8061445981657045</v>
      </c>
      <c r="N90" s="206">
        <f t="shared" si="29"/>
        <v>-59.824161785814795</v>
      </c>
      <c r="O90" s="205">
        <f t="shared" si="30"/>
        <v>0</v>
      </c>
      <c r="P90" s="205">
        <f t="shared" si="31"/>
        <v>0</v>
      </c>
      <c r="Q90" s="205">
        <v>0</v>
      </c>
      <c r="R90" s="206">
        <f t="shared" si="32"/>
        <v>-59.824161785814795</v>
      </c>
    </row>
    <row r="91" spans="1:18" s="224" customFormat="1" x14ac:dyDescent="0.2">
      <c r="A91" s="160">
        <v>12</v>
      </c>
      <c r="B91" s="222">
        <f t="shared" si="4"/>
        <v>44531</v>
      </c>
      <c r="C91" s="220">
        <f t="shared" si="25"/>
        <v>44566</v>
      </c>
      <c r="D91" s="220">
        <f t="shared" si="25"/>
        <v>44585</v>
      </c>
      <c r="E91" s="223" t="s">
        <v>9</v>
      </c>
      <c r="F91" s="171">
        <v>9</v>
      </c>
      <c r="G91" s="200">
        <v>39</v>
      </c>
      <c r="H91" s="212">
        <f t="shared" si="27"/>
        <v>1177.4939874727397</v>
      </c>
      <c r="I91" s="212">
        <f t="shared" si="22"/>
        <v>1176.0435370430484</v>
      </c>
      <c r="J91" s="213">
        <f t="shared" si="2"/>
        <v>45865.69794467889</v>
      </c>
      <c r="K91" s="214">
        <f t="shared" si="13"/>
        <v>45922.265511436846</v>
      </c>
      <c r="L91" s="215">
        <f t="shared" si="26"/>
        <v>-56.567566757956229</v>
      </c>
      <c r="M91" s="205">
        <f t="shared" si="28"/>
        <v>-1.7609909832115618</v>
      </c>
      <c r="N91" s="206">
        <f t="shared" si="29"/>
        <v>-58.328557741167792</v>
      </c>
      <c r="O91" s="205">
        <f t="shared" si="30"/>
        <v>0</v>
      </c>
      <c r="P91" s="205">
        <f t="shared" si="31"/>
        <v>0</v>
      </c>
      <c r="Q91" s="205">
        <v>0</v>
      </c>
      <c r="R91" s="206">
        <f t="shared" si="32"/>
        <v>-58.328557741167792</v>
      </c>
    </row>
    <row r="92" spans="1:18" x14ac:dyDescent="0.2">
      <c r="A92" s="125">
        <v>1</v>
      </c>
      <c r="B92" s="197">
        <f t="shared" si="4"/>
        <v>44197</v>
      </c>
      <c r="C92" s="217">
        <f t="shared" ref="C92:D95" si="33">+C80</f>
        <v>44230</v>
      </c>
      <c r="D92" s="217">
        <f t="shared" si="33"/>
        <v>44251</v>
      </c>
      <c r="E92" s="199" t="s">
        <v>8</v>
      </c>
      <c r="F92" s="125">
        <v>9</v>
      </c>
      <c r="G92" s="200">
        <v>76</v>
      </c>
      <c r="H92" s="201">
        <f t="shared" si="27"/>
        <v>1177.4939874727397</v>
      </c>
      <c r="I92" s="201">
        <f t="shared" si="22"/>
        <v>1176.0435370430484</v>
      </c>
      <c r="J92" s="202">
        <f t="shared" si="2"/>
        <v>89379.308815271681</v>
      </c>
      <c r="K92" s="203">
        <f t="shared" si="13"/>
        <v>89489.543047928222</v>
      </c>
      <c r="L92" s="204">
        <f t="shared" si="26"/>
        <v>-110.23423265654128</v>
      </c>
      <c r="M92" s="205">
        <f t="shared" si="28"/>
        <v>-3.4316747365148386</v>
      </c>
      <c r="N92" s="206">
        <f t="shared" si="29"/>
        <v>-113.66590739305612</v>
      </c>
      <c r="O92" s="205">
        <f t="shared" si="30"/>
        <v>0</v>
      </c>
      <c r="P92" s="205">
        <f t="shared" si="31"/>
        <v>0</v>
      </c>
      <c r="Q92" s="205">
        <v>0</v>
      </c>
      <c r="R92" s="206">
        <f t="shared" si="32"/>
        <v>-113.66590739305612</v>
      </c>
    </row>
    <row r="93" spans="1:18" x14ac:dyDescent="0.2">
      <c r="A93" s="160">
        <v>2</v>
      </c>
      <c r="B93" s="197">
        <f t="shared" si="4"/>
        <v>44228</v>
      </c>
      <c r="C93" s="220">
        <f t="shared" si="33"/>
        <v>44258</v>
      </c>
      <c r="D93" s="220">
        <f t="shared" si="33"/>
        <v>44279</v>
      </c>
      <c r="E93" s="207" t="s">
        <v>8</v>
      </c>
      <c r="F93" s="160">
        <v>9</v>
      </c>
      <c r="G93" s="200">
        <v>99</v>
      </c>
      <c r="H93" s="201">
        <f t="shared" si="27"/>
        <v>1177.4939874727397</v>
      </c>
      <c r="I93" s="201">
        <f t="shared" si="22"/>
        <v>1176.0435370430484</v>
      </c>
      <c r="J93" s="202">
        <f t="shared" si="2"/>
        <v>116428.31016726179</v>
      </c>
      <c r="K93" s="203">
        <f t="shared" si="13"/>
        <v>116571.90475980123</v>
      </c>
      <c r="L93" s="204">
        <f t="shared" si="26"/>
        <v>-143.59459253943351</v>
      </c>
      <c r="M93" s="205">
        <f t="shared" si="28"/>
        <v>-4.4702078804601193</v>
      </c>
      <c r="N93" s="206">
        <f t="shared" si="29"/>
        <v>-148.06480041989363</v>
      </c>
      <c r="O93" s="205">
        <f t="shared" si="30"/>
        <v>0</v>
      </c>
      <c r="P93" s="205">
        <f t="shared" si="31"/>
        <v>0</v>
      </c>
      <c r="Q93" s="205">
        <v>0</v>
      </c>
      <c r="R93" s="206">
        <f t="shared" si="32"/>
        <v>-148.06480041989363</v>
      </c>
    </row>
    <row r="94" spans="1:18" x14ac:dyDescent="0.2">
      <c r="A94" s="160">
        <v>3</v>
      </c>
      <c r="B94" s="197">
        <f t="shared" si="4"/>
        <v>44256</v>
      </c>
      <c r="C94" s="220">
        <f t="shared" si="33"/>
        <v>44291</v>
      </c>
      <c r="D94" s="220">
        <f t="shared" si="33"/>
        <v>44312</v>
      </c>
      <c r="E94" s="207" t="s">
        <v>8</v>
      </c>
      <c r="F94" s="160">
        <v>9</v>
      </c>
      <c r="G94" s="200">
        <v>66</v>
      </c>
      <c r="H94" s="201">
        <f t="shared" si="27"/>
        <v>1177.4939874727397</v>
      </c>
      <c r="I94" s="201">
        <f t="shared" si="22"/>
        <v>1176.0435370430484</v>
      </c>
      <c r="J94" s="202">
        <f t="shared" si="2"/>
        <v>77618.8734448412</v>
      </c>
      <c r="K94" s="203">
        <f t="shared" ref="K94:K133" si="34">+$G94*H94</f>
        <v>77714.603173200827</v>
      </c>
      <c r="L94" s="204">
        <f>+J94-K94</f>
        <v>-95.729728359627188</v>
      </c>
      <c r="M94" s="205">
        <f t="shared" si="28"/>
        <v>-2.9801385869734123</v>
      </c>
      <c r="N94" s="206">
        <f t="shared" si="29"/>
        <v>-98.709866946600599</v>
      </c>
      <c r="O94" s="205">
        <f t="shared" si="30"/>
        <v>0</v>
      </c>
      <c r="P94" s="205">
        <f t="shared" si="31"/>
        <v>0</v>
      </c>
      <c r="Q94" s="205">
        <v>0</v>
      </c>
      <c r="R94" s="206">
        <f t="shared" si="32"/>
        <v>-98.709866946600599</v>
      </c>
    </row>
    <row r="95" spans="1:18" x14ac:dyDescent="0.2">
      <c r="A95" s="125">
        <v>4</v>
      </c>
      <c r="B95" s="197">
        <f t="shared" si="4"/>
        <v>44287</v>
      </c>
      <c r="C95" s="220">
        <f t="shared" si="33"/>
        <v>44321</v>
      </c>
      <c r="D95" s="220">
        <f t="shared" si="33"/>
        <v>44340</v>
      </c>
      <c r="E95" s="207" t="s">
        <v>8</v>
      </c>
      <c r="F95" s="160">
        <v>9</v>
      </c>
      <c r="G95" s="200">
        <v>67</v>
      </c>
      <c r="H95" s="201">
        <f t="shared" si="27"/>
        <v>1177.4939874727397</v>
      </c>
      <c r="I95" s="201">
        <f t="shared" si="22"/>
        <v>1176.0435370430484</v>
      </c>
      <c r="J95" s="202">
        <f t="shared" si="2"/>
        <v>78794.916981884249</v>
      </c>
      <c r="K95" s="203">
        <f t="shared" si="34"/>
        <v>78892.097160673555</v>
      </c>
      <c r="L95" s="204">
        <f t="shared" ref="L95:L105" si="35">+J95-K95</f>
        <v>-97.180178789305501</v>
      </c>
      <c r="M95" s="205">
        <f t="shared" si="28"/>
        <v>-3.025292201927555</v>
      </c>
      <c r="N95" s="206">
        <f t="shared" si="29"/>
        <v>-100.20547099123306</v>
      </c>
      <c r="O95" s="205">
        <f t="shared" si="30"/>
        <v>0</v>
      </c>
      <c r="P95" s="205">
        <f t="shared" si="31"/>
        <v>0</v>
      </c>
      <c r="Q95" s="205">
        <v>0</v>
      </c>
      <c r="R95" s="206">
        <f t="shared" si="32"/>
        <v>-100.20547099123306</v>
      </c>
    </row>
    <row r="96" spans="1:18" x14ac:dyDescent="0.2">
      <c r="A96" s="160">
        <v>5</v>
      </c>
      <c r="B96" s="197">
        <f t="shared" si="4"/>
        <v>44317</v>
      </c>
      <c r="C96" s="220">
        <f t="shared" ref="C96:D116" si="36">+C84</f>
        <v>44350</v>
      </c>
      <c r="D96" s="220">
        <f t="shared" si="36"/>
        <v>44371</v>
      </c>
      <c r="E96" s="54" t="s">
        <v>8</v>
      </c>
      <c r="F96" s="160">
        <v>9</v>
      </c>
      <c r="G96" s="200">
        <v>101</v>
      </c>
      <c r="H96" s="201">
        <f t="shared" si="27"/>
        <v>1177.4939874727397</v>
      </c>
      <c r="I96" s="201">
        <f t="shared" si="22"/>
        <v>1176.0435370430484</v>
      </c>
      <c r="J96" s="202">
        <f t="shared" si="2"/>
        <v>118780.39724134789</v>
      </c>
      <c r="K96" s="203">
        <f t="shared" si="34"/>
        <v>118926.89273474671</v>
      </c>
      <c r="L96" s="204">
        <f t="shared" si="35"/>
        <v>-146.49549339881924</v>
      </c>
      <c r="M96" s="205">
        <f t="shared" si="28"/>
        <v>-4.5605151103684038</v>
      </c>
      <c r="N96" s="206">
        <f t="shared" si="29"/>
        <v>-151.05600850918765</v>
      </c>
      <c r="O96" s="205">
        <f t="shared" si="30"/>
        <v>0</v>
      </c>
      <c r="P96" s="205">
        <f t="shared" si="31"/>
        <v>0</v>
      </c>
      <c r="Q96" s="205">
        <v>0</v>
      </c>
      <c r="R96" s="206">
        <f t="shared" si="32"/>
        <v>-151.05600850918765</v>
      </c>
    </row>
    <row r="97" spans="1:18" x14ac:dyDescent="0.2">
      <c r="A97" s="160">
        <v>6</v>
      </c>
      <c r="B97" s="197">
        <f t="shared" si="4"/>
        <v>44348</v>
      </c>
      <c r="C97" s="220">
        <f t="shared" si="36"/>
        <v>44383</v>
      </c>
      <c r="D97" s="220">
        <f t="shared" si="36"/>
        <v>44401</v>
      </c>
      <c r="E97" s="54" t="s">
        <v>8</v>
      </c>
      <c r="F97" s="160">
        <v>9</v>
      </c>
      <c r="G97" s="200">
        <v>141</v>
      </c>
      <c r="H97" s="201">
        <f t="shared" si="27"/>
        <v>1177.4939874727397</v>
      </c>
      <c r="I97" s="201">
        <f t="shared" si="22"/>
        <v>1176.0435370430484</v>
      </c>
      <c r="J97" s="202">
        <f t="shared" si="2"/>
        <v>165822.13872306983</v>
      </c>
      <c r="K97" s="203">
        <f t="shared" si="34"/>
        <v>166026.65223365629</v>
      </c>
      <c r="L97" s="208">
        <f t="shared" si="35"/>
        <v>-204.51351058646105</v>
      </c>
      <c r="M97" s="205">
        <f t="shared" si="28"/>
        <v>-6.366659708534109</v>
      </c>
      <c r="N97" s="206">
        <f t="shared" si="29"/>
        <v>-210.88017029499517</v>
      </c>
      <c r="O97" s="205">
        <f t="shared" si="30"/>
        <v>0</v>
      </c>
      <c r="P97" s="205">
        <f t="shared" si="31"/>
        <v>0</v>
      </c>
      <c r="Q97" s="205">
        <v>0</v>
      </c>
      <c r="R97" s="206">
        <f t="shared" si="32"/>
        <v>-210.88017029499517</v>
      </c>
    </row>
    <row r="98" spans="1:18" x14ac:dyDescent="0.2">
      <c r="A98" s="125">
        <v>7</v>
      </c>
      <c r="B98" s="197">
        <f t="shared" si="4"/>
        <v>44378</v>
      </c>
      <c r="C98" s="220">
        <f t="shared" si="36"/>
        <v>44412</v>
      </c>
      <c r="D98" s="220">
        <f t="shared" si="36"/>
        <v>44432</v>
      </c>
      <c r="E98" s="54" t="s">
        <v>8</v>
      </c>
      <c r="F98" s="160">
        <v>9</v>
      </c>
      <c r="G98" s="200">
        <v>145</v>
      </c>
      <c r="H98" s="201">
        <f t="shared" si="27"/>
        <v>1177.4939874727397</v>
      </c>
      <c r="I98" s="201">
        <f t="shared" si="22"/>
        <v>1176.0435370430484</v>
      </c>
      <c r="J98" s="202">
        <f t="shared" si="2"/>
        <v>170526.31287124203</v>
      </c>
      <c r="K98" s="209">
        <f t="shared" si="34"/>
        <v>170736.62818354726</v>
      </c>
      <c r="L98" s="208">
        <f t="shared" si="35"/>
        <v>-210.31531230523251</v>
      </c>
      <c r="M98" s="205">
        <f t="shared" si="28"/>
        <v>-6.547274168350679</v>
      </c>
      <c r="N98" s="206">
        <f t="shared" si="29"/>
        <v>-216.86258647358318</v>
      </c>
      <c r="O98" s="205">
        <f t="shared" si="30"/>
        <v>0</v>
      </c>
      <c r="P98" s="205">
        <f t="shared" si="31"/>
        <v>0</v>
      </c>
      <c r="Q98" s="205">
        <v>0</v>
      </c>
      <c r="R98" s="206">
        <f t="shared" si="32"/>
        <v>-216.86258647358318</v>
      </c>
    </row>
    <row r="99" spans="1:18" x14ac:dyDescent="0.2">
      <c r="A99" s="160">
        <v>8</v>
      </c>
      <c r="B99" s="197">
        <f t="shared" si="4"/>
        <v>44409</v>
      </c>
      <c r="C99" s="220">
        <f t="shared" si="36"/>
        <v>44442</v>
      </c>
      <c r="D99" s="220">
        <f t="shared" si="36"/>
        <v>44463</v>
      </c>
      <c r="E99" s="54" t="s">
        <v>8</v>
      </c>
      <c r="F99" s="160">
        <v>9</v>
      </c>
      <c r="G99" s="200">
        <v>149</v>
      </c>
      <c r="H99" s="201">
        <f t="shared" si="27"/>
        <v>1177.4939874727397</v>
      </c>
      <c r="I99" s="201">
        <f t="shared" si="22"/>
        <v>1176.0435370430484</v>
      </c>
      <c r="J99" s="202">
        <f t="shared" si="2"/>
        <v>175230.48701941423</v>
      </c>
      <c r="K99" s="209">
        <f t="shared" si="34"/>
        <v>175446.60413343823</v>
      </c>
      <c r="L99" s="208">
        <f t="shared" si="35"/>
        <v>-216.11711402400397</v>
      </c>
      <c r="M99" s="205">
        <f t="shared" si="28"/>
        <v>-6.727888628167249</v>
      </c>
      <c r="N99" s="206">
        <f t="shared" si="29"/>
        <v>-222.84500265217122</v>
      </c>
      <c r="O99" s="205">
        <f t="shared" si="30"/>
        <v>0</v>
      </c>
      <c r="P99" s="205">
        <f t="shared" si="31"/>
        <v>0</v>
      </c>
      <c r="Q99" s="205">
        <v>0</v>
      </c>
      <c r="R99" s="206">
        <f t="shared" si="32"/>
        <v>-222.84500265217122</v>
      </c>
    </row>
    <row r="100" spans="1:18" x14ac:dyDescent="0.2">
      <c r="A100" s="160">
        <v>9</v>
      </c>
      <c r="B100" s="197">
        <f t="shared" si="4"/>
        <v>44440</v>
      </c>
      <c r="C100" s="220">
        <f t="shared" si="36"/>
        <v>44474</v>
      </c>
      <c r="D100" s="220">
        <f t="shared" si="36"/>
        <v>44494</v>
      </c>
      <c r="E100" s="54" t="s">
        <v>8</v>
      </c>
      <c r="F100" s="160">
        <v>9</v>
      </c>
      <c r="G100" s="200">
        <v>150</v>
      </c>
      <c r="H100" s="201">
        <f t="shared" si="27"/>
        <v>1177.4939874727397</v>
      </c>
      <c r="I100" s="201">
        <f t="shared" si="22"/>
        <v>1176.0435370430484</v>
      </c>
      <c r="J100" s="202">
        <f t="shared" si="2"/>
        <v>176406.53055645726</v>
      </c>
      <c r="K100" s="209">
        <f t="shared" si="34"/>
        <v>176624.09812091096</v>
      </c>
      <c r="L100" s="208">
        <f t="shared" si="35"/>
        <v>-217.56756445369683</v>
      </c>
      <c r="M100" s="205">
        <f t="shared" si="28"/>
        <v>-6.7730422431213917</v>
      </c>
      <c r="N100" s="206">
        <f t="shared" si="29"/>
        <v>-224.34060669681821</v>
      </c>
      <c r="O100" s="205">
        <f t="shared" si="30"/>
        <v>0</v>
      </c>
      <c r="P100" s="205">
        <f t="shared" si="31"/>
        <v>0</v>
      </c>
      <c r="Q100" s="205">
        <v>0</v>
      </c>
      <c r="R100" s="206">
        <f t="shared" si="32"/>
        <v>-224.34060669681821</v>
      </c>
    </row>
    <row r="101" spans="1:18" x14ac:dyDescent="0.2">
      <c r="A101" s="125">
        <v>10</v>
      </c>
      <c r="B101" s="197">
        <f t="shared" si="4"/>
        <v>44470</v>
      </c>
      <c r="C101" s="220">
        <f t="shared" si="36"/>
        <v>44503</v>
      </c>
      <c r="D101" s="220">
        <f t="shared" si="36"/>
        <v>44524</v>
      </c>
      <c r="E101" s="54" t="s">
        <v>8</v>
      </c>
      <c r="F101" s="160">
        <v>9</v>
      </c>
      <c r="G101" s="200">
        <v>114</v>
      </c>
      <c r="H101" s="201">
        <f t="shared" si="27"/>
        <v>1177.4939874727397</v>
      </c>
      <c r="I101" s="201">
        <f t="shared" si="22"/>
        <v>1176.0435370430484</v>
      </c>
      <c r="J101" s="202">
        <f t="shared" si="2"/>
        <v>134068.96322290754</v>
      </c>
      <c r="K101" s="209">
        <f t="shared" si="34"/>
        <v>134234.31457189232</v>
      </c>
      <c r="L101" s="208">
        <f t="shared" si="35"/>
        <v>-165.35134898478282</v>
      </c>
      <c r="M101" s="205">
        <f t="shared" si="28"/>
        <v>-5.1475121047722583</v>
      </c>
      <c r="N101" s="206">
        <f t="shared" si="29"/>
        <v>-170.49886108955508</v>
      </c>
      <c r="O101" s="205">
        <f t="shared" si="30"/>
        <v>0</v>
      </c>
      <c r="P101" s="205">
        <f t="shared" si="31"/>
        <v>0</v>
      </c>
      <c r="Q101" s="205">
        <v>0</v>
      </c>
      <c r="R101" s="206">
        <f t="shared" si="32"/>
        <v>-170.49886108955508</v>
      </c>
    </row>
    <row r="102" spans="1:18" x14ac:dyDescent="0.2">
      <c r="A102" s="160">
        <v>11</v>
      </c>
      <c r="B102" s="197">
        <f t="shared" si="4"/>
        <v>44501</v>
      </c>
      <c r="C102" s="220">
        <f t="shared" si="36"/>
        <v>44533</v>
      </c>
      <c r="D102" s="220">
        <f t="shared" si="36"/>
        <v>44557</v>
      </c>
      <c r="E102" s="54" t="s">
        <v>8</v>
      </c>
      <c r="F102" s="160">
        <v>9</v>
      </c>
      <c r="G102" s="200">
        <v>66</v>
      </c>
      <c r="H102" s="201">
        <f t="shared" si="27"/>
        <v>1177.4939874727397</v>
      </c>
      <c r="I102" s="201">
        <f t="shared" si="22"/>
        <v>1176.0435370430484</v>
      </c>
      <c r="J102" s="202">
        <f t="shared" si="2"/>
        <v>77618.8734448412</v>
      </c>
      <c r="K102" s="209">
        <f t="shared" si="34"/>
        <v>77714.603173200827</v>
      </c>
      <c r="L102" s="208">
        <f t="shared" si="35"/>
        <v>-95.729728359627188</v>
      </c>
      <c r="M102" s="205">
        <f t="shared" si="28"/>
        <v>-2.9801385869734123</v>
      </c>
      <c r="N102" s="206">
        <f t="shared" si="29"/>
        <v>-98.709866946600599</v>
      </c>
      <c r="O102" s="205">
        <f t="shared" si="30"/>
        <v>0</v>
      </c>
      <c r="P102" s="205">
        <f t="shared" si="31"/>
        <v>0</v>
      </c>
      <c r="Q102" s="205">
        <v>0</v>
      </c>
      <c r="R102" s="206">
        <f t="shared" si="32"/>
        <v>-98.709866946600599</v>
      </c>
    </row>
    <row r="103" spans="1:18" s="224" customFormat="1" x14ac:dyDescent="0.2">
      <c r="A103" s="160">
        <v>12</v>
      </c>
      <c r="B103" s="222">
        <f t="shared" si="4"/>
        <v>44531</v>
      </c>
      <c r="C103" s="220">
        <f t="shared" si="36"/>
        <v>44566</v>
      </c>
      <c r="D103" s="220">
        <f t="shared" si="36"/>
        <v>44585</v>
      </c>
      <c r="E103" s="223" t="s">
        <v>8</v>
      </c>
      <c r="F103" s="171">
        <v>9</v>
      </c>
      <c r="G103" s="200">
        <v>72</v>
      </c>
      <c r="H103" s="212">
        <f t="shared" si="27"/>
        <v>1177.4939874727397</v>
      </c>
      <c r="I103" s="212">
        <f t="shared" si="22"/>
        <v>1176.0435370430484</v>
      </c>
      <c r="J103" s="213">
        <f t="shared" si="2"/>
        <v>84675.134667099483</v>
      </c>
      <c r="K103" s="214">
        <f t="shared" si="34"/>
        <v>84779.567098037252</v>
      </c>
      <c r="L103" s="215">
        <f t="shared" si="35"/>
        <v>-104.43243093776982</v>
      </c>
      <c r="M103" s="205">
        <f t="shared" si="28"/>
        <v>-3.2510602766982681</v>
      </c>
      <c r="N103" s="206">
        <f t="shared" si="29"/>
        <v>-107.68349121446809</v>
      </c>
      <c r="O103" s="205">
        <f t="shared" si="30"/>
        <v>0</v>
      </c>
      <c r="P103" s="205">
        <f t="shared" si="31"/>
        <v>0</v>
      </c>
      <c r="Q103" s="205">
        <v>0</v>
      </c>
      <c r="R103" s="206">
        <f t="shared" si="32"/>
        <v>-107.68349121446809</v>
      </c>
    </row>
    <row r="104" spans="1:18" x14ac:dyDescent="0.2">
      <c r="A104" s="125">
        <v>1</v>
      </c>
      <c r="B104" s="197">
        <f t="shared" si="4"/>
        <v>44197</v>
      </c>
      <c r="C104" s="217">
        <f t="shared" si="36"/>
        <v>44230</v>
      </c>
      <c r="D104" s="217">
        <f t="shared" si="36"/>
        <v>44251</v>
      </c>
      <c r="E104" s="199" t="s">
        <v>19</v>
      </c>
      <c r="F104" s="125">
        <v>9</v>
      </c>
      <c r="G104" s="200">
        <v>37</v>
      </c>
      <c r="H104" s="201">
        <f t="shared" si="27"/>
        <v>1177.4939874727397</v>
      </c>
      <c r="I104" s="201">
        <f t="shared" si="22"/>
        <v>1176.0435370430484</v>
      </c>
      <c r="J104" s="202">
        <f t="shared" si="2"/>
        <v>43513.610870592791</v>
      </c>
      <c r="K104" s="203">
        <f t="shared" si="34"/>
        <v>43567.277536491369</v>
      </c>
      <c r="L104" s="204">
        <f t="shared" si="35"/>
        <v>-53.666665898577776</v>
      </c>
      <c r="M104" s="205">
        <f t="shared" si="28"/>
        <v>-1.6706837533032768</v>
      </c>
      <c r="N104" s="206">
        <f t="shared" si="29"/>
        <v>-55.337349651881055</v>
      </c>
      <c r="O104" s="205">
        <f t="shared" si="30"/>
        <v>0</v>
      </c>
      <c r="P104" s="205">
        <f t="shared" si="31"/>
        <v>0</v>
      </c>
      <c r="Q104" s="205">
        <v>0</v>
      </c>
      <c r="R104" s="206">
        <f t="shared" si="32"/>
        <v>-55.337349651881055</v>
      </c>
    </row>
    <row r="105" spans="1:18" x14ac:dyDescent="0.2">
      <c r="A105" s="160">
        <v>2</v>
      </c>
      <c r="B105" s="197">
        <f t="shared" si="4"/>
        <v>44228</v>
      </c>
      <c r="C105" s="220">
        <f t="shared" si="36"/>
        <v>44258</v>
      </c>
      <c r="D105" s="220">
        <f t="shared" si="36"/>
        <v>44279</v>
      </c>
      <c r="E105" s="207" t="s">
        <v>19</v>
      </c>
      <c r="F105" s="160">
        <v>9</v>
      </c>
      <c r="G105" s="200">
        <v>33</v>
      </c>
      <c r="H105" s="201">
        <f t="shared" si="27"/>
        <v>1177.4939874727397</v>
      </c>
      <c r="I105" s="201">
        <f t="shared" si="22"/>
        <v>1176.0435370430484</v>
      </c>
      <c r="J105" s="202">
        <f t="shared" si="2"/>
        <v>38809.4367224206</v>
      </c>
      <c r="K105" s="203">
        <f t="shared" si="34"/>
        <v>38857.301586600413</v>
      </c>
      <c r="L105" s="204">
        <f t="shared" si="35"/>
        <v>-47.864864179813594</v>
      </c>
      <c r="M105" s="205">
        <f t="shared" si="28"/>
        <v>-1.4900692934867061</v>
      </c>
      <c r="N105" s="206">
        <f t="shared" si="29"/>
        <v>-49.354933473300299</v>
      </c>
      <c r="O105" s="205">
        <f t="shared" si="30"/>
        <v>0</v>
      </c>
      <c r="P105" s="205">
        <f t="shared" si="31"/>
        <v>0</v>
      </c>
      <c r="Q105" s="205">
        <v>0</v>
      </c>
      <c r="R105" s="206">
        <f t="shared" si="32"/>
        <v>-49.354933473300299</v>
      </c>
    </row>
    <row r="106" spans="1:18" x14ac:dyDescent="0.2">
      <c r="A106" s="160">
        <v>3</v>
      </c>
      <c r="B106" s="197">
        <f t="shared" si="4"/>
        <v>44256</v>
      </c>
      <c r="C106" s="220">
        <f t="shared" si="36"/>
        <v>44291</v>
      </c>
      <c r="D106" s="220">
        <f t="shared" si="36"/>
        <v>44312</v>
      </c>
      <c r="E106" s="207" t="s">
        <v>19</v>
      </c>
      <c r="F106" s="160">
        <v>9</v>
      </c>
      <c r="G106" s="200">
        <v>47</v>
      </c>
      <c r="H106" s="201">
        <f t="shared" si="27"/>
        <v>1177.4939874727397</v>
      </c>
      <c r="I106" s="201">
        <f t="shared" si="22"/>
        <v>1176.0435370430484</v>
      </c>
      <c r="J106" s="202">
        <f t="shared" si="2"/>
        <v>55274.046241023279</v>
      </c>
      <c r="K106" s="203">
        <f t="shared" si="34"/>
        <v>55342.217411218764</v>
      </c>
      <c r="L106" s="204">
        <f>+J106-K106</f>
        <v>-68.171170195484592</v>
      </c>
      <c r="M106" s="205">
        <f t="shared" si="28"/>
        <v>-2.1222199028447029</v>
      </c>
      <c r="N106" s="206">
        <f t="shared" si="29"/>
        <v>-70.293390098329297</v>
      </c>
      <c r="O106" s="205">
        <f t="shared" si="30"/>
        <v>0</v>
      </c>
      <c r="P106" s="205">
        <f t="shared" si="31"/>
        <v>0</v>
      </c>
      <c r="Q106" s="205">
        <v>0</v>
      </c>
      <c r="R106" s="206">
        <f t="shared" si="32"/>
        <v>-70.293390098329297</v>
      </c>
    </row>
    <row r="107" spans="1:18" x14ac:dyDescent="0.2">
      <c r="A107" s="125">
        <v>4</v>
      </c>
      <c r="B107" s="197">
        <f t="shared" si="4"/>
        <v>44287</v>
      </c>
      <c r="C107" s="220">
        <f t="shared" si="36"/>
        <v>44321</v>
      </c>
      <c r="D107" s="220">
        <f t="shared" si="36"/>
        <v>44340</v>
      </c>
      <c r="E107" s="54" t="s">
        <v>19</v>
      </c>
      <c r="F107" s="160">
        <v>9</v>
      </c>
      <c r="G107" s="200">
        <v>39</v>
      </c>
      <c r="H107" s="201">
        <f t="shared" si="27"/>
        <v>1177.4939874727397</v>
      </c>
      <c r="I107" s="201">
        <f t="shared" si="22"/>
        <v>1176.0435370430484</v>
      </c>
      <c r="J107" s="202">
        <f t="shared" si="2"/>
        <v>45865.69794467889</v>
      </c>
      <c r="K107" s="203">
        <f t="shared" si="34"/>
        <v>45922.265511436846</v>
      </c>
      <c r="L107" s="204">
        <f t="shared" ref="L107:L115" si="37">+J107-K107</f>
        <v>-56.567566757956229</v>
      </c>
      <c r="M107" s="205">
        <f t="shared" si="28"/>
        <v>-1.7609909832115618</v>
      </c>
      <c r="N107" s="206">
        <f t="shared" si="29"/>
        <v>-58.328557741167792</v>
      </c>
      <c r="O107" s="205">
        <f t="shared" si="30"/>
        <v>0</v>
      </c>
      <c r="P107" s="205">
        <f t="shared" si="31"/>
        <v>0</v>
      </c>
      <c r="Q107" s="205">
        <v>0</v>
      </c>
      <c r="R107" s="206">
        <f t="shared" si="32"/>
        <v>-58.328557741167792</v>
      </c>
    </row>
    <row r="108" spans="1:18" x14ac:dyDescent="0.2">
      <c r="A108" s="160">
        <v>5</v>
      </c>
      <c r="B108" s="197">
        <f t="shared" si="4"/>
        <v>44317</v>
      </c>
      <c r="C108" s="220">
        <f t="shared" si="36"/>
        <v>44350</v>
      </c>
      <c r="D108" s="220">
        <f t="shared" si="36"/>
        <v>44371</v>
      </c>
      <c r="E108" s="54" t="s">
        <v>19</v>
      </c>
      <c r="F108" s="160">
        <v>9</v>
      </c>
      <c r="G108" s="200">
        <v>46</v>
      </c>
      <c r="H108" s="201">
        <f t="shared" si="27"/>
        <v>1177.4939874727397</v>
      </c>
      <c r="I108" s="201">
        <f t="shared" ref="I108:I127" si="38">$J$3</f>
        <v>1176.0435370430484</v>
      </c>
      <c r="J108" s="202">
        <f t="shared" si="2"/>
        <v>54098.00270398023</v>
      </c>
      <c r="K108" s="203">
        <f t="shared" si="34"/>
        <v>54164.723423746029</v>
      </c>
      <c r="L108" s="204">
        <f t="shared" si="37"/>
        <v>-66.720719765799004</v>
      </c>
      <c r="M108" s="205">
        <f t="shared" si="28"/>
        <v>-2.0770662878905601</v>
      </c>
      <c r="N108" s="206">
        <f t="shared" si="29"/>
        <v>-68.797786053689563</v>
      </c>
      <c r="O108" s="205">
        <f t="shared" si="30"/>
        <v>0</v>
      </c>
      <c r="P108" s="205">
        <f t="shared" si="31"/>
        <v>0</v>
      </c>
      <c r="Q108" s="205">
        <v>0</v>
      </c>
      <c r="R108" s="206">
        <f t="shared" si="32"/>
        <v>-68.797786053689563</v>
      </c>
    </row>
    <row r="109" spans="1:18" x14ac:dyDescent="0.2">
      <c r="A109" s="160">
        <v>6</v>
      </c>
      <c r="B109" s="197">
        <f t="shared" ref="B109:B148" si="39">DATE($R$1,A109,1)</f>
        <v>44348</v>
      </c>
      <c r="C109" s="220">
        <f t="shared" si="36"/>
        <v>44383</v>
      </c>
      <c r="D109" s="220">
        <f t="shared" si="36"/>
        <v>44401</v>
      </c>
      <c r="E109" s="54" t="s">
        <v>19</v>
      </c>
      <c r="F109" s="160">
        <v>9</v>
      </c>
      <c r="G109" s="200">
        <v>51</v>
      </c>
      <c r="H109" s="201">
        <f t="shared" si="27"/>
        <v>1177.4939874727397</v>
      </c>
      <c r="I109" s="201">
        <f t="shared" si="38"/>
        <v>1176.0435370430484</v>
      </c>
      <c r="J109" s="202">
        <f t="shared" ref="J109:J148" si="40">+$G109*I109</f>
        <v>59978.22038919547</v>
      </c>
      <c r="K109" s="203">
        <f t="shared" si="34"/>
        <v>60052.193361109727</v>
      </c>
      <c r="L109" s="208">
        <f t="shared" si="37"/>
        <v>-73.97297191425605</v>
      </c>
      <c r="M109" s="205">
        <f t="shared" si="28"/>
        <v>-2.3028343626612733</v>
      </c>
      <c r="N109" s="206">
        <f t="shared" si="29"/>
        <v>-76.275806276917322</v>
      </c>
      <c r="O109" s="205">
        <f t="shared" si="30"/>
        <v>0</v>
      </c>
      <c r="P109" s="205">
        <f t="shared" si="31"/>
        <v>0</v>
      </c>
      <c r="Q109" s="205">
        <v>0</v>
      </c>
      <c r="R109" s="206">
        <f t="shared" si="32"/>
        <v>-76.275806276917322</v>
      </c>
    </row>
    <row r="110" spans="1:18" x14ac:dyDescent="0.2">
      <c r="A110" s="125">
        <v>7</v>
      </c>
      <c r="B110" s="197">
        <f t="shared" si="39"/>
        <v>44378</v>
      </c>
      <c r="C110" s="220">
        <f t="shared" si="36"/>
        <v>44412</v>
      </c>
      <c r="D110" s="220">
        <f t="shared" si="36"/>
        <v>44432</v>
      </c>
      <c r="E110" s="54" t="s">
        <v>19</v>
      </c>
      <c r="F110" s="160">
        <v>9</v>
      </c>
      <c r="G110" s="200">
        <v>46</v>
      </c>
      <c r="H110" s="201">
        <f t="shared" si="27"/>
        <v>1177.4939874727397</v>
      </c>
      <c r="I110" s="201">
        <f t="shared" si="38"/>
        <v>1176.0435370430484</v>
      </c>
      <c r="J110" s="202">
        <f t="shared" si="40"/>
        <v>54098.00270398023</v>
      </c>
      <c r="K110" s="209">
        <f t="shared" si="34"/>
        <v>54164.723423746029</v>
      </c>
      <c r="L110" s="208">
        <f t="shared" si="37"/>
        <v>-66.720719765799004</v>
      </c>
      <c r="M110" s="205">
        <f t="shared" si="28"/>
        <v>-2.0770662878905601</v>
      </c>
      <c r="N110" s="206">
        <f t="shared" si="29"/>
        <v>-68.797786053689563</v>
      </c>
      <c r="O110" s="205">
        <f t="shared" si="30"/>
        <v>0</v>
      </c>
      <c r="P110" s="205">
        <f t="shared" si="31"/>
        <v>0</v>
      </c>
      <c r="Q110" s="205">
        <v>0</v>
      </c>
      <c r="R110" s="206">
        <f t="shared" si="32"/>
        <v>-68.797786053689563</v>
      </c>
    </row>
    <row r="111" spans="1:18" x14ac:dyDescent="0.2">
      <c r="A111" s="160">
        <v>8</v>
      </c>
      <c r="B111" s="197">
        <f t="shared" si="39"/>
        <v>44409</v>
      </c>
      <c r="C111" s="220">
        <f t="shared" si="36"/>
        <v>44442</v>
      </c>
      <c r="D111" s="220">
        <f t="shared" si="36"/>
        <v>44463</v>
      </c>
      <c r="E111" s="54" t="s">
        <v>19</v>
      </c>
      <c r="F111" s="160">
        <v>9</v>
      </c>
      <c r="G111" s="200">
        <v>50</v>
      </c>
      <c r="H111" s="201">
        <f t="shared" si="27"/>
        <v>1177.4939874727397</v>
      </c>
      <c r="I111" s="201">
        <f t="shared" si="38"/>
        <v>1176.0435370430484</v>
      </c>
      <c r="J111" s="202">
        <f t="shared" si="40"/>
        <v>58802.176852152421</v>
      </c>
      <c r="K111" s="209">
        <f t="shared" si="34"/>
        <v>58874.699373636984</v>
      </c>
      <c r="L111" s="208">
        <f t="shared" si="37"/>
        <v>-72.522521484563185</v>
      </c>
      <c r="M111" s="205">
        <f t="shared" si="28"/>
        <v>-2.257680747707131</v>
      </c>
      <c r="N111" s="206">
        <f t="shared" si="29"/>
        <v>-74.780202232270312</v>
      </c>
      <c r="O111" s="205">
        <f t="shared" si="30"/>
        <v>0</v>
      </c>
      <c r="P111" s="205">
        <f t="shared" si="31"/>
        <v>0</v>
      </c>
      <c r="Q111" s="205">
        <v>0</v>
      </c>
      <c r="R111" s="206">
        <f t="shared" si="32"/>
        <v>-74.780202232270312</v>
      </c>
    </row>
    <row r="112" spans="1:18" x14ac:dyDescent="0.2">
      <c r="A112" s="160">
        <v>9</v>
      </c>
      <c r="B112" s="197">
        <f t="shared" si="39"/>
        <v>44440</v>
      </c>
      <c r="C112" s="220">
        <f t="shared" si="36"/>
        <v>44474</v>
      </c>
      <c r="D112" s="220">
        <f t="shared" si="36"/>
        <v>44494</v>
      </c>
      <c r="E112" s="54" t="s">
        <v>19</v>
      </c>
      <c r="F112" s="160">
        <v>9</v>
      </c>
      <c r="G112" s="200">
        <v>45</v>
      </c>
      <c r="H112" s="201">
        <f t="shared" si="27"/>
        <v>1177.4939874727397</v>
      </c>
      <c r="I112" s="201">
        <f t="shared" si="38"/>
        <v>1176.0435370430484</v>
      </c>
      <c r="J112" s="202">
        <f t="shared" si="40"/>
        <v>52921.95916693718</v>
      </c>
      <c r="K112" s="209">
        <f t="shared" si="34"/>
        <v>52987.229436273286</v>
      </c>
      <c r="L112" s="208">
        <f t="shared" si="37"/>
        <v>-65.270269336106139</v>
      </c>
      <c r="M112" s="205">
        <f t="shared" si="28"/>
        <v>-2.0319126729364174</v>
      </c>
      <c r="N112" s="206">
        <f t="shared" si="29"/>
        <v>-67.302182009042554</v>
      </c>
      <c r="O112" s="205">
        <f t="shared" si="30"/>
        <v>0</v>
      </c>
      <c r="P112" s="205">
        <f t="shared" si="31"/>
        <v>0</v>
      </c>
      <c r="Q112" s="205">
        <v>0</v>
      </c>
      <c r="R112" s="206">
        <f t="shared" si="32"/>
        <v>-67.302182009042554</v>
      </c>
    </row>
    <row r="113" spans="1:18" x14ac:dyDescent="0.2">
      <c r="A113" s="125">
        <v>10</v>
      </c>
      <c r="B113" s="197">
        <f t="shared" si="39"/>
        <v>44470</v>
      </c>
      <c r="C113" s="220">
        <f t="shared" si="36"/>
        <v>44503</v>
      </c>
      <c r="D113" s="220">
        <f t="shared" si="36"/>
        <v>44524</v>
      </c>
      <c r="E113" s="54" t="s">
        <v>19</v>
      </c>
      <c r="F113" s="160">
        <v>9</v>
      </c>
      <c r="G113" s="200">
        <v>46</v>
      </c>
      <c r="H113" s="201">
        <f t="shared" si="27"/>
        <v>1177.4939874727397</v>
      </c>
      <c r="I113" s="201">
        <f t="shared" si="38"/>
        <v>1176.0435370430484</v>
      </c>
      <c r="J113" s="202">
        <f t="shared" si="40"/>
        <v>54098.00270398023</v>
      </c>
      <c r="K113" s="209">
        <f t="shared" si="34"/>
        <v>54164.723423746029</v>
      </c>
      <c r="L113" s="208">
        <f t="shared" si="37"/>
        <v>-66.720719765799004</v>
      </c>
      <c r="M113" s="205">
        <f t="shared" si="28"/>
        <v>-2.0770662878905601</v>
      </c>
      <c r="N113" s="206">
        <f t="shared" si="29"/>
        <v>-68.797786053689563</v>
      </c>
      <c r="O113" s="205">
        <f t="shared" si="30"/>
        <v>0</v>
      </c>
      <c r="P113" s="205">
        <f t="shared" si="31"/>
        <v>0</v>
      </c>
      <c r="Q113" s="205">
        <v>0</v>
      </c>
      <c r="R113" s="206">
        <f t="shared" si="32"/>
        <v>-68.797786053689563</v>
      </c>
    </row>
    <row r="114" spans="1:18" x14ac:dyDescent="0.2">
      <c r="A114" s="160">
        <v>11</v>
      </c>
      <c r="B114" s="197">
        <f t="shared" si="39"/>
        <v>44501</v>
      </c>
      <c r="C114" s="220">
        <f t="shared" si="36"/>
        <v>44533</v>
      </c>
      <c r="D114" s="220">
        <f t="shared" si="36"/>
        <v>44557</v>
      </c>
      <c r="E114" s="54" t="s">
        <v>19</v>
      </c>
      <c r="F114" s="160">
        <v>9</v>
      </c>
      <c r="G114" s="200">
        <v>48</v>
      </c>
      <c r="H114" s="201">
        <f t="shared" si="27"/>
        <v>1177.4939874727397</v>
      </c>
      <c r="I114" s="201">
        <f t="shared" si="38"/>
        <v>1176.0435370430484</v>
      </c>
      <c r="J114" s="202">
        <f t="shared" si="40"/>
        <v>56450.089778066322</v>
      </c>
      <c r="K114" s="209">
        <f t="shared" si="34"/>
        <v>56519.711398691506</v>
      </c>
      <c r="L114" s="208">
        <f t="shared" si="37"/>
        <v>-69.621620625184732</v>
      </c>
      <c r="M114" s="205">
        <f t="shared" si="28"/>
        <v>-2.1673735177988456</v>
      </c>
      <c r="N114" s="206">
        <f t="shared" si="29"/>
        <v>-71.788994142983583</v>
      </c>
      <c r="O114" s="205">
        <f t="shared" si="30"/>
        <v>0</v>
      </c>
      <c r="P114" s="205">
        <f t="shared" si="31"/>
        <v>0</v>
      </c>
      <c r="Q114" s="205">
        <v>0</v>
      </c>
      <c r="R114" s="206">
        <f t="shared" si="32"/>
        <v>-71.788994142983583</v>
      </c>
    </row>
    <row r="115" spans="1:18" s="224" customFormat="1" x14ac:dyDescent="0.2">
      <c r="A115" s="160">
        <v>12</v>
      </c>
      <c r="B115" s="222">
        <f t="shared" si="39"/>
        <v>44531</v>
      </c>
      <c r="C115" s="225">
        <f t="shared" si="36"/>
        <v>44566</v>
      </c>
      <c r="D115" s="225">
        <f t="shared" si="36"/>
        <v>44585</v>
      </c>
      <c r="E115" s="223" t="s">
        <v>19</v>
      </c>
      <c r="F115" s="171">
        <v>9</v>
      </c>
      <c r="G115" s="200">
        <v>42</v>
      </c>
      <c r="H115" s="212">
        <f t="shared" si="27"/>
        <v>1177.4939874727397</v>
      </c>
      <c r="I115" s="212">
        <f t="shared" si="38"/>
        <v>1176.0435370430484</v>
      </c>
      <c r="J115" s="213">
        <f t="shared" si="40"/>
        <v>49393.828555808032</v>
      </c>
      <c r="K115" s="214">
        <f t="shared" si="34"/>
        <v>49454.747473855066</v>
      </c>
      <c r="L115" s="215">
        <f t="shared" si="37"/>
        <v>-60.918918047034822</v>
      </c>
      <c r="M115" s="205">
        <f t="shared" si="28"/>
        <v>-1.8964518280739897</v>
      </c>
      <c r="N115" s="206">
        <f t="shared" si="29"/>
        <v>-62.815369875108814</v>
      </c>
      <c r="O115" s="205">
        <f t="shared" si="30"/>
        <v>0</v>
      </c>
      <c r="P115" s="205">
        <f t="shared" si="31"/>
        <v>0</v>
      </c>
      <c r="Q115" s="205">
        <v>0</v>
      </c>
      <c r="R115" s="206">
        <f t="shared" si="32"/>
        <v>-62.815369875108814</v>
      </c>
    </row>
    <row r="116" spans="1:18" x14ac:dyDescent="0.2">
      <c r="A116" s="125">
        <v>1</v>
      </c>
      <c r="B116" s="197">
        <f t="shared" si="39"/>
        <v>44197</v>
      </c>
      <c r="C116" s="220">
        <f t="shared" si="36"/>
        <v>44230</v>
      </c>
      <c r="D116" s="220">
        <f t="shared" si="36"/>
        <v>44251</v>
      </c>
      <c r="E116" s="199" t="s">
        <v>13</v>
      </c>
      <c r="F116" s="125">
        <v>9</v>
      </c>
      <c r="G116" s="200">
        <v>973</v>
      </c>
      <c r="H116" s="201">
        <f t="shared" si="27"/>
        <v>1177.4939874727397</v>
      </c>
      <c r="I116" s="201">
        <f t="shared" si="38"/>
        <v>1176.0435370430484</v>
      </c>
      <c r="J116" s="202">
        <f t="shared" si="40"/>
        <v>1144290.3615428861</v>
      </c>
      <c r="K116" s="203">
        <f t="shared" si="34"/>
        <v>1145701.6498109757</v>
      </c>
      <c r="L116" s="204">
        <f>+J116-K116</f>
        <v>-1411.2882680895273</v>
      </c>
      <c r="M116" s="205">
        <f t="shared" si="28"/>
        <v>-43.934467350380757</v>
      </c>
      <c r="N116" s="206">
        <f t="shared" si="29"/>
        <v>-1455.2227354399081</v>
      </c>
      <c r="O116" s="205">
        <f t="shared" si="30"/>
        <v>0</v>
      </c>
      <c r="P116" s="205">
        <f t="shared" si="31"/>
        <v>0</v>
      </c>
      <c r="Q116" s="205">
        <v>0</v>
      </c>
      <c r="R116" s="206">
        <f t="shared" si="32"/>
        <v>-1455.2227354399081</v>
      </c>
    </row>
    <row r="117" spans="1:18" x14ac:dyDescent="0.2">
      <c r="A117" s="160">
        <v>2</v>
      </c>
      <c r="B117" s="197">
        <f t="shared" si="39"/>
        <v>44228</v>
      </c>
      <c r="C117" s="220">
        <f t="shared" ref="C117:D139" si="41">+C105</f>
        <v>44258</v>
      </c>
      <c r="D117" s="220">
        <f t="shared" si="41"/>
        <v>44279</v>
      </c>
      <c r="E117" s="207" t="s">
        <v>13</v>
      </c>
      <c r="F117" s="160">
        <v>9</v>
      </c>
      <c r="G117" s="200">
        <v>1338</v>
      </c>
      <c r="H117" s="201">
        <f t="shared" si="27"/>
        <v>1177.4939874727397</v>
      </c>
      <c r="I117" s="201">
        <f t="shared" si="38"/>
        <v>1176.0435370430484</v>
      </c>
      <c r="J117" s="202">
        <f t="shared" si="40"/>
        <v>1573546.2525635988</v>
      </c>
      <c r="K117" s="203">
        <f t="shared" si="34"/>
        <v>1575486.9552385258</v>
      </c>
      <c r="L117" s="204">
        <f>+J117-K117</f>
        <v>-1940.7026749269571</v>
      </c>
      <c r="M117" s="205">
        <f t="shared" si="28"/>
        <v>-60.41553680864282</v>
      </c>
      <c r="N117" s="206">
        <f t="shared" si="29"/>
        <v>-2001.1182117356</v>
      </c>
      <c r="O117" s="205">
        <f t="shared" si="30"/>
        <v>0</v>
      </c>
      <c r="P117" s="205">
        <f t="shared" si="31"/>
        <v>0</v>
      </c>
      <c r="Q117" s="205">
        <v>0</v>
      </c>
      <c r="R117" s="206">
        <f t="shared" si="32"/>
        <v>-2001.1182117356</v>
      </c>
    </row>
    <row r="118" spans="1:18" x14ac:dyDescent="0.2">
      <c r="A118" s="160">
        <v>3</v>
      </c>
      <c r="B118" s="197">
        <f t="shared" si="39"/>
        <v>44256</v>
      </c>
      <c r="C118" s="220">
        <f t="shared" si="41"/>
        <v>44291</v>
      </c>
      <c r="D118" s="220">
        <f t="shared" si="41"/>
        <v>44312</v>
      </c>
      <c r="E118" s="207" t="s">
        <v>13</v>
      </c>
      <c r="F118" s="160">
        <v>9</v>
      </c>
      <c r="G118" s="200">
        <v>790</v>
      </c>
      <c r="H118" s="201">
        <f t="shared" si="27"/>
        <v>1177.4939874727397</v>
      </c>
      <c r="I118" s="201">
        <f t="shared" si="38"/>
        <v>1176.0435370430484</v>
      </c>
      <c r="J118" s="202">
        <f t="shared" si="40"/>
        <v>929074.39426400827</v>
      </c>
      <c r="K118" s="203">
        <f t="shared" si="34"/>
        <v>930220.25010346435</v>
      </c>
      <c r="L118" s="204">
        <f>+J118-K118</f>
        <v>-1145.8558394560823</v>
      </c>
      <c r="M118" s="205">
        <f t="shared" si="28"/>
        <v>-35.671355813772664</v>
      </c>
      <c r="N118" s="206">
        <f t="shared" si="29"/>
        <v>-1181.5271952698549</v>
      </c>
      <c r="O118" s="205">
        <f t="shared" si="30"/>
        <v>0</v>
      </c>
      <c r="P118" s="205">
        <f t="shared" si="31"/>
        <v>0</v>
      </c>
      <c r="Q118" s="205">
        <v>0</v>
      </c>
      <c r="R118" s="206">
        <f t="shared" si="32"/>
        <v>-1181.5271952698549</v>
      </c>
    </row>
    <row r="119" spans="1:18" x14ac:dyDescent="0.2">
      <c r="A119" s="125">
        <v>4</v>
      </c>
      <c r="B119" s="197">
        <f t="shared" si="39"/>
        <v>44287</v>
      </c>
      <c r="C119" s="220">
        <f t="shared" si="41"/>
        <v>44321</v>
      </c>
      <c r="D119" s="220">
        <f t="shared" si="41"/>
        <v>44340</v>
      </c>
      <c r="E119" s="54" t="s">
        <v>13</v>
      </c>
      <c r="F119" s="160">
        <v>9</v>
      </c>
      <c r="G119" s="200">
        <v>565</v>
      </c>
      <c r="H119" s="201">
        <f t="shared" si="27"/>
        <v>1177.4939874727397</v>
      </c>
      <c r="I119" s="201">
        <f t="shared" si="38"/>
        <v>1176.0435370430484</v>
      </c>
      <c r="J119" s="202">
        <f t="shared" si="40"/>
        <v>664464.59842932236</v>
      </c>
      <c r="K119" s="203">
        <f t="shared" si="34"/>
        <v>665284.1029220979</v>
      </c>
      <c r="L119" s="204">
        <f t="shared" ref="L119:L127" si="42">+J119-K119</f>
        <v>-819.50449277553707</v>
      </c>
      <c r="M119" s="205">
        <f t="shared" si="28"/>
        <v>-25.511792449090574</v>
      </c>
      <c r="N119" s="206">
        <f t="shared" si="29"/>
        <v>-845.01628522462761</v>
      </c>
      <c r="O119" s="205">
        <f t="shared" si="30"/>
        <v>0</v>
      </c>
      <c r="P119" s="205">
        <f t="shared" si="31"/>
        <v>0</v>
      </c>
      <c r="Q119" s="205">
        <v>0</v>
      </c>
      <c r="R119" s="206">
        <f t="shared" si="32"/>
        <v>-845.01628522462761</v>
      </c>
    </row>
    <row r="120" spans="1:18" x14ac:dyDescent="0.2">
      <c r="A120" s="160">
        <v>5</v>
      </c>
      <c r="B120" s="197">
        <f t="shared" si="39"/>
        <v>44317</v>
      </c>
      <c r="C120" s="220">
        <f t="shared" si="41"/>
        <v>44350</v>
      </c>
      <c r="D120" s="220">
        <f t="shared" si="41"/>
        <v>44371</v>
      </c>
      <c r="E120" s="54" t="s">
        <v>13</v>
      </c>
      <c r="F120" s="160">
        <v>9</v>
      </c>
      <c r="G120" s="200">
        <v>636</v>
      </c>
      <c r="H120" s="201">
        <f t="shared" si="27"/>
        <v>1177.4939874727397</v>
      </c>
      <c r="I120" s="201">
        <f t="shared" si="38"/>
        <v>1176.0435370430484</v>
      </c>
      <c r="J120" s="202">
        <f t="shared" si="40"/>
        <v>747963.68955937878</v>
      </c>
      <c r="K120" s="203">
        <f t="shared" si="34"/>
        <v>748886.17603266251</v>
      </c>
      <c r="L120" s="204">
        <f t="shared" si="42"/>
        <v>-922.48647328373045</v>
      </c>
      <c r="M120" s="205">
        <f t="shared" si="28"/>
        <v>-28.717699110834701</v>
      </c>
      <c r="N120" s="206">
        <f t="shared" si="29"/>
        <v>-951.20417239456515</v>
      </c>
      <c r="O120" s="205">
        <f t="shared" si="30"/>
        <v>0</v>
      </c>
      <c r="P120" s="205">
        <f t="shared" si="31"/>
        <v>0</v>
      </c>
      <c r="Q120" s="205">
        <v>0</v>
      </c>
      <c r="R120" s="206">
        <f t="shared" si="32"/>
        <v>-951.20417239456515</v>
      </c>
    </row>
    <row r="121" spans="1:18" x14ac:dyDescent="0.2">
      <c r="A121" s="160">
        <v>6</v>
      </c>
      <c r="B121" s="197">
        <f t="shared" si="39"/>
        <v>44348</v>
      </c>
      <c r="C121" s="220">
        <f t="shared" si="41"/>
        <v>44383</v>
      </c>
      <c r="D121" s="220">
        <f t="shared" si="41"/>
        <v>44401</v>
      </c>
      <c r="E121" s="54" t="s">
        <v>13</v>
      </c>
      <c r="F121" s="160">
        <v>9</v>
      </c>
      <c r="G121" s="200">
        <v>845</v>
      </c>
      <c r="H121" s="201">
        <f t="shared" si="27"/>
        <v>1177.4939874727397</v>
      </c>
      <c r="I121" s="201">
        <f t="shared" si="38"/>
        <v>1176.0435370430484</v>
      </c>
      <c r="J121" s="202">
        <f t="shared" si="40"/>
        <v>993756.78880137589</v>
      </c>
      <c r="K121" s="203">
        <f t="shared" si="34"/>
        <v>994982.41941446508</v>
      </c>
      <c r="L121" s="208">
        <f t="shared" si="42"/>
        <v>-1225.6306130891899</v>
      </c>
      <c r="M121" s="205">
        <f t="shared" si="28"/>
        <v>-38.15480463625051</v>
      </c>
      <c r="N121" s="206">
        <f t="shared" si="29"/>
        <v>-1263.7854177254403</v>
      </c>
      <c r="O121" s="205">
        <f t="shared" si="30"/>
        <v>0</v>
      </c>
      <c r="P121" s="205">
        <f t="shared" si="31"/>
        <v>0</v>
      </c>
      <c r="Q121" s="205">
        <v>0</v>
      </c>
      <c r="R121" s="206">
        <f t="shared" si="32"/>
        <v>-1263.7854177254403</v>
      </c>
    </row>
    <row r="122" spans="1:18" x14ac:dyDescent="0.2">
      <c r="A122" s="125">
        <v>7</v>
      </c>
      <c r="B122" s="197">
        <f t="shared" si="39"/>
        <v>44378</v>
      </c>
      <c r="C122" s="220">
        <f t="shared" si="41"/>
        <v>44412</v>
      </c>
      <c r="D122" s="220">
        <f t="shared" si="41"/>
        <v>44432</v>
      </c>
      <c r="E122" s="54" t="s">
        <v>13</v>
      </c>
      <c r="F122" s="160">
        <v>9</v>
      </c>
      <c r="G122" s="200">
        <v>897</v>
      </c>
      <c r="H122" s="201">
        <f t="shared" si="27"/>
        <v>1177.4939874727397</v>
      </c>
      <c r="I122" s="201">
        <f t="shared" si="38"/>
        <v>1176.0435370430484</v>
      </c>
      <c r="J122" s="202">
        <f t="shared" si="40"/>
        <v>1054911.0527276145</v>
      </c>
      <c r="K122" s="209">
        <f t="shared" si="34"/>
        <v>1056212.1067630476</v>
      </c>
      <c r="L122" s="208">
        <f t="shared" si="42"/>
        <v>-1301.0540354331024</v>
      </c>
      <c r="M122" s="205">
        <f t="shared" si="28"/>
        <v>-40.502792613865921</v>
      </c>
      <c r="N122" s="206">
        <f t="shared" si="29"/>
        <v>-1341.5568280469683</v>
      </c>
      <c r="O122" s="205">
        <f t="shared" si="30"/>
        <v>0</v>
      </c>
      <c r="P122" s="205">
        <f t="shared" si="31"/>
        <v>0</v>
      </c>
      <c r="Q122" s="205">
        <v>0</v>
      </c>
      <c r="R122" s="206">
        <f t="shared" si="32"/>
        <v>-1341.5568280469683</v>
      </c>
    </row>
    <row r="123" spans="1:18" x14ac:dyDescent="0.2">
      <c r="A123" s="160">
        <v>8</v>
      </c>
      <c r="B123" s="197">
        <f t="shared" si="39"/>
        <v>44409</v>
      </c>
      <c r="C123" s="220">
        <f t="shared" si="41"/>
        <v>44442</v>
      </c>
      <c r="D123" s="220">
        <f t="shared" si="41"/>
        <v>44463</v>
      </c>
      <c r="E123" s="54" t="s">
        <v>13</v>
      </c>
      <c r="F123" s="160">
        <v>9</v>
      </c>
      <c r="G123" s="200">
        <v>899</v>
      </c>
      <c r="H123" s="201">
        <f t="shared" si="27"/>
        <v>1177.4939874727397</v>
      </c>
      <c r="I123" s="201">
        <f t="shared" si="38"/>
        <v>1176.0435370430484</v>
      </c>
      <c r="J123" s="202">
        <f t="shared" si="40"/>
        <v>1057263.1398017006</v>
      </c>
      <c r="K123" s="209">
        <f t="shared" si="34"/>
        <v>1058567.0947379931</v>
      </c>
      <c r="L123" s="208">
        <f t="shared" si="42"/>
        <v>-1303.9549362924881</v>
      </c>
      <c r="M123" s="205">
        <f t="shared" si="28"/>
        <v>-40.593099843774212</v>
      </c>
      <c r="N123" s="206">
        <f t="shared" si="29"/>
        <v>-1344.5480361362625</v>
      </c>
      <c r="O123" s="205">
        <f t="shared" si="30"/>
        <v>0</v>
      </c>
      <c r="P123" s="205">
        <f t="shared" si="31"/>
        <v>0</v>
      </c>
      <c r="Q123" s="205">
        <v>0</v>
      </c>
      <c r="R123" s="206">
        <f t="shared" si="32"/>
        <v>-1344.5480361362625</v>
      </c>
    </row>
    <row r="124" spans="1:18" x14ac:dyDescent="0.2">
      <c r="A124" s="160">
        <v>9</v>
      </c>
      <c r="B124" s="197">
        <f t="shared" si="39"/>
        <v>44440</v>
      </c>
      <c r="C124" s="220">
        <f t="shared" si="41"/>
        <v>44474</v>
      </c>
      <c r="D124" s="220">
        <f t="shared" si="41"/>
        <v>44494</v>
      </c>
      <c r="E124" s="54" t="s">
        <v>13</v>
      </c>
      <c r="F124" s="160">
        <v>9</v>
      </c>
      <c r="G124" s="200">
        <v>904</v>
      </c>
      <c r="H124" s="201">
        <f t="shared" si="27"/>
        <v>1177.4939874727397</v>
      </c>
      <c r="I124" s="201">
        <f t="shared" si="38"/>
        <v>1176.0435370430484</v>
      </c>
      <c r="J124" s="202">
        <f t="shared" si="40"/>
        <v>1063143.3574869158</v>
      </c>
      <c r="K124" s="209">
        <f t="shared" si="34"/>
        <v>1064454.5646753567</v>
      </c>
      <c r="L124" s="208">
        <f t="shared" si="42"/>
        <v>-1311.2071884409525</v>
      </c>
      <c r="M124" s="205">
        <f t="shared" si="28"/>
        <v>-40.818867918544925</v>
      </c>
      <c r="N124" s="206">
        <f t="shared" si="29"/>
        <v>-1352.0260563594975</v>
      </c>
      <c r="O124" s="205">
        <f t="shared" si="30"/>
        <v>0</v>
      </c>
      <c r="P124" s="205">
        <f t="shared" si="31"/>
        <v>0</v>
      </c>
      <c r="Q124" s="205">
        <v>0</v>
      </c>
      <c r="R124" s="206">
        <f t="shared" si="32"/>
        <v>-1352.0260563594975</v>
      </c>
    </row>
    <row r="125" spans="1:18" x14ac:dyDescent="0.2">
      <c r="A125" s="125">
        <v>10</v>
      </c>
      <c r="B125" s="197">
        <f t="shared" si="39"/>
        <v>44470</v>
      </c>
      <c r="C125" s="220">
        <f t="shared" si="41"/>
        <v>44503</v>
      </c>
      <c r="D125" s="220">
        <f t="shared" si="41"/>
        <v>44524</v>
      </c>
      <c r="E125" s="54" t="s">
        <v>13</v>
      </c>
      <c r="F125" s="160">
        <v>9</v>
      </c>
      <c r="G125" s="200">
        <v>685</v>
      </c>
      <c r="H125" s="201">
        <f t="shared" si="27"/>
        <v>1177.4939874727397</v>
      </c>
      <c r="I125" s="201">
        <f t="shared" si="38"/>
        <v>1176.0435370430484</v>
      </c>
      <c r="J125" s="202">
        <f t="shared" si="40"/>
        <v>805589.82287448819</v>
      </c>
      <c r="K125" s="209">
        <f t="shared" si="34"/>
        <v>806583.38141882676</v>
      </c>
      <c r="L125" s="208">
        <f t="shared" si="42"/>
        <v>-993.55854433856439</v>
      </c>
      <c r="M125" s="205">
        <f t="shared" si="28"/>
        <v>-30.93022624358769</v>
      </c>
      <c r="N125" s="206">
        <f t="shared" si="29"/>
        <v>-1024.488770582152</v>
      </c>
      <c r="O125" s="205">
        <f t="shared" si="30"/>
        <v>0</v>
      </c>
      <c r="P125" s="205">
        <f t="shared" si="31"/>
        <v>0</v>
      </c>
      <c r="Q125" s="205">
        <v>0</v>
      </c>
      <c r="R125" s="206">
        <f t="shared" si="32"/>
        <v>-1024.488770582152</v>
      </c>
    </row>
    <row r="126" spans="1:18" x14ac:dyDescent="0.2">
      <c r="A126" s="160">
        <v>11</v>
      </c>
      <c r="B126" s="197">
        <f t="shared" si="39"/>
        <v>44501</v>
      </c>
      <c r="C126" s="220">
        <f t="shared" si="41"/>
        <v>44533</v>
      </c>
      <c r="D126" s="220">
        <f t="shared" si="41"/>
        <v>44557</v>
      </c>
      <c r="E126" s="54" t="s">
        <v>13</v>
      </c>
      <c r="F126" s="160">
        <v>9</v>
      </c>
      <c r="G126" s="200">
        <v>718</v>
      </c>
      <c r="H126" s="201">
        <f t="shared" si="27"/>
        <v>1177.4939874727397</v>
      </c>
      <c r="I126" s="201">
        <f t="shared" si="38"/>
        <v>1176.0435370430484</v>
      </c>
      <c r="J126" s="202">
        <f t="shared" si="40"/>
        <v>844399.25959690881</v>
      </c>
      <c r="K126" s="209">
        <f t="shared" si="34"/>
        <v>845440.68300542713</v>
      </c>
      <c r="L126" s="208">
        <f t="shared" si="42"/>
        <v>-1041.4234085183125</v>
      </c>
      <c r="M126" s="205">
        <f t="shared" si="28"/>
        <v>-32.420295537074395</v>
      </c>
      <c r="N126" s="206">
        <f t="shared" si="29"/>
        <v>-1073.843704055387</v>
      </c>
      <c r="O126" s="205">
        <f t="shared" si="30"/>
        <v>0</v>
      </c>
      <c r="P126" s="205">
        <f t="shared" si="31"/>
        <v>0</v>
      </c>
      <c r="Q126" s="205">
        <v>0</v>
      </c>
      <c r="R126" s="206">
        <f t="shared" si="32"/>
        <v>-1073.843704055387</v>
      </c>
    </row>
    <row r="127" spans="1:18" s="224" customFormat="1" x14ac:dyDescent="0.2">
      <c r="A127" s="160">
        <v>12</v>
      </c>
      <c r="B127" s="222">
        <f t="shared" si="39"/>
        <v>44531</v>
      </c>
      <c r="C127" s="225">
        <f t="shared" si="41"/>
        <v>44566</v>
      </c>
      <c r="D127" s="225">
        <f t="shared" si="41"/>
        <v>44585</v>
      </c>
      <c r="E127" s="223" t="s">
        <v>13</v>
      </c>
      <c r="F127" s="171">
        <v>9</v>
      </c>
      <c r="G127" s="200">
        <v>770</v>
      </c>
      <c r="H127" s="212">
        <f t="shared" si="27"/>
        <v>1177.4939874727397</v>
      </c>
      <c r="I127" s="212">
        <f t="shared" si="38"/>
        <v>1176.0435370430484</v>
      </c>
      <c r="J127" s="213">
        <f t="shared" si="40"/>
        <v>905553.52352314733</v>
      </c>
      <c r="K127" s="214">
        <f t="shared" si="34"/>
        <v>906670.37035400956</v>
      </c>
      <c r="L127" s="215">
        <f t="shared" si="42"/>
        <v>-1116.846830862225</v>
      </c>
      <c r="M127" s="205">
        <f t="shared" si="28"/>
        <v>-34.768283514689813</v>
      </c>
      <c r="N127" s="206">
        <f t="shared" si="29"/>
        <v>-1151.6151143769148</v>
      </c>
      <c r="O127" s="205">
        <f t="shared" si="30"/>
        <v>0</v>
      </c>
      <c r="P127" s="205">
        <f t="shared" si="31"/>
        <v>0</v>
      </c>
      <c r="Q127" s="205">
        <v>0</v>
      </c>
      <c r="R127" s="206">
        <f t="shared" si="32"/>
        <v>-1151.6151143769148</v>
      </c>
    </row>
    <row r="128" spans="1:18" x14ac:dyDescent="0.2">
      <c r="A128" s="125">
        <v>1</v>
      </c>
      <c r="B128" s="197">
        <f t="shared" si="39"/>
        <v>44197</v>
      </c>
      <c r="C128" s="220">
        <f t="shared" si="41"/>
        <v>44230</v>
      </c>
      <c r="D128" s="220">
        <f t="shared" si="41"/>
        <v>44251</v>
      </c>
      <c r="E128" s="199" t="s">
        <v>15</v>
      </c>
      <c r="F128" s="125">
        <v>9</v>
      </c>
      <c r="G128" s="200">
        <v>7</v>
      </c>
      <c r="H128" s="201">
        <f t="shared" si="27"/>
        <v>1177.4939874727397</v>
      </c>
      <c r="I128" s="201">
        <f t="shared" ref="I128:I147" si="43">$J$3</f>
        <v>1176.0435370430484</v>
      </c>
      <c r="J128" s="202">
        <f t="shared" si="40"/>
        <v>8232.3047593013398</v>
      </c>
      <c r="K128" s="203">
        <f t="shared" si="34"/>
        <v>8242.4579123091789</v>
      </c>
      <c r="L128" s="204">
        <f>+J128-K128</f>
        <v>-10.153153007839137</v>
      </c>
      <c r="M128" s="205">
        <f t="shared" si="28"/>
        <v>-0.3160753046789983</v>
      </c>
      <c r="N128" s="206">
        <f t="shared" si="29"/>
        <v>-10.469228312518135</v>
      </c>
      <c r="O128" s="205">
        <f t="shared" si="30"/>
        <v>0</v>
      </c>
      <c r="P128" s="205">
        <f t="shared" si="31"/>
        <v>0</v>
      </c>
      <c r="Q128" s="205">
        <v>0</v>
      </c>
      <c r="R128" s="206">
        <f t="shared" si="32"/>
        <v>-10.469228312518135</v>
      </c>
    </row>
    <row r="129" spans="1:18" x14ac:dyDescent="0.2">
      <c r="A129" s="160">
        <v>2</v>
      </c>
      <c r="B129" s="197">
        <f t="shared" si="39"/>
        <v>44228</v>
      </c>
      <c r="C129" s="220">
        <f t="shared" si="41"/>
        <v>44258</v>
      </c>
      <c r="D129" s="220">
        <f t="shared" si="41"/>
        <v>44279</v>
      </c>
      <c r="E129" s="207" t="s">
        <v>15</v>
      </c>
      <c r="F129" s="160">
        <v>9</v>
      </c>
      <c r="G129" s="200">
        <v>8</v>
      </c>
      <c r="H129" s="201">
        <f t="shared" si="27"/>
        <v>1177.4939874727397</v>
      </c>
      <c r="I129" s="201">
        <f t="shared" si="43"/>
        <v>1176.0435370430484</v>
      </c>
      <c r="J129" s="202">
        <f t="shared" si="40"/>
        <v>9408.3482963443876</v>
      </c>
      <c r="K129" s="203">
        <f t="shared" si="34"/>
        <v>9419.9518997819177</v>
      </c>
      <c r="L129" s="204">
        <f>+J129-K129</f>
        <v>-11.603603437530182</v>
      </c>
      <c r="M129" s="205">
        <f t="shared" si="28"/>
        <v>-0.36122891963314085</v>
      </c>
      <c r="N129" s="206">
        <f t="shared" si="29"/>
        <v>-11.964832357163324</v>
      </c>
      <c r="O129" s="205">
        <f t="shared" si="30"/>
        <v>0</v>
      </c>
      <c r="P129" s="205">
        <f t="shared" si="31"/>
        <v>0</v>
      </c>
      <c r="Q129" s="205">
        <v>0</v>
      </c>
      <c r="R129" s="206">
        <f t="shared" si="32"/>
        <v>-11.964832357163324</v>
      </c>
    </row>
    <row r="130" spans="1:18" x14ac:dyDescent="0.2">
      <c r="A130" s="160">
        <v>3</v>
      </c>
      <c r="B130" s="197">
        <f t="shared" si="39"/>
        <v>44256</v>
      </c>
      <c r="C130" s="220">
        <f t="shared" si="41"/>
        <v>44291</v>
      </c>
      <c r="D130" s="220">
        <f t="shared" si="41"/>
        <v>44312</v>
      </c>
      <c r="E130" s="207" t="s">
        <v>15</v>
      </c>
      <c r="F130" s="160">
        <v>9</v>
      </c>
      <c r="G130" s="200">
        <v>5</v>
      </c>
      <c r="H130" s="201">
        <f t="shared" si="27"/>
        <v>1177.4939874727397</v>
      </c>
      <c r="I130" s="201">
        <f t="shared" si="43"/>
        <v>1176.0435370430484</v>
      </c>
      <c r="J130" s="202">
        <f t="shared" si="40"/>
        <v>5880.2176852152425</v>
      </c>
      <c r="K130" s="203">
        <f t="shared" si="34"/>
        <v>5887.4699373636986</v>
      </c>
      <c r="L130" s="204">
        <f>+J130-K130</f>
        <v>-7.2522521484561366</v>
      </c>
      <c r="M130" s="205">
        <f t="shared" si="28"/>
        <v>-0.22576807477071306</v>
      </c>
      <c r="N130" s="206">
        <f t="shared" si="29"/>
        <v>-7.4780202232268493</v>
      </c>
      <c r="O130" s="205">
        <f t="shared" si="30"/>
        <v>0</v>
      </c>
      <c r="P130" s="205">
        <f t="shared" si="31"/>
        <v>0</v>
      </c>
      <c r="Q130" s="205">
        <v>0</v>
      </c>
      <c r="R130" s="206">
        <f t="shared" si="32"/>
        <v>-7.4780202232268493</v>
      </c>
    </row>
    <row r="131" spans="1:18" x14ac:dyDescent="0.2">
      <c r="A131" s="125">
        <v>4</v>
      </c>
      <c r="B131" s="197">
        <f t="shared" si="39"/>
        <v>44287</v>
      </c>
      <c r="C131" s="220">
        <f t="shared" si="41"/>
        <v>44321</v>
      </c>
      <c r="D131" s="220">
        <f t="shared" si="41"/>
        <v>44340</v>
      </c>
      <c r="E131" s="207" t="s">
        <v>15</v>
      </c>
      <c r="F131" s="160">
        <v>9</v>
      </c>
      <c r="G131" s="200">
        <v>6</v>
      </c>
      <c r="H131" s="201">
        <f t="shared" si="27"/>
        <v>1177.4939874727397</v>
      </c>
      <c r="I131" s="201">
        <f t="shared" si="43"/>
        <v>1176.0435370430484</v>
      </c>
      <c r="J131" s="202">
        <f t="shared" si="40"/>
        <v>7056.2612222582902</v>
      </c>
      <c r="K131" s="203">
        <f t="shared" si="34"/>
        <v>7064.9639248364383</v>
      </c>
      <c r="L131" s="204">
        <f t="shared" ref="L131:L141" si="44">+J131-K131</f>
        <v>-8.7027025781480916</v>
      </c>
      <c r="M131" s="205">
        <f t="shared" si="28"/>
        <v>-0.2709216897248557</v>
      </c>
      <c r="N131" s="206">
        <f t="shared" si="29"/>
        <v>-8.9736242678729479</v>
      </c>
      <c r="O131" s="205">
        <f t="shared" si="30"/>
        <v>0</v>
      </c>
      <c r="P131" s="205">
        <f t="shared" si="31"/>
        <v>0</v>
      </c>
      <c r="Q131" s="205">
        <v>0</v>
      </c>
      <c r="R131" s="206">
        <f t="shared" si="32"/>
        <v>-8.9736242678729479</v>
      </c>
    </row>
    <row r="132" spans="1:18" x14ac:dyDescent="0.2">
      <c r="A132" s="160">
        <v>5</v>
      </c>
      <c r="B132" s="197">
        <f t="shared" si="39"/>
        <v>44317</v>
      </c>
      <c r="C132" s="220">
        <f t="shared" si="41"/>
        <v>44350</v>
      </c>
      <c r="D132" s="220">
        <f t="shared" si="41"/>
        <v>44371</v>
      </c>
      <c r="E132" s="54" t="s">
        <v>15</v>
      </c>
      <c r="F132" s="160">
        <v>9</v>
      </c>
      <c r="G132" s="200">
        <v>4</v>
      </c>
      <c r="H132" s="201">
        <f t="shared" si="27"/>
        <v>1177.4939874727397</v>
      </c>
      <c r="I132" s="201">
        <f t="shared" si="43"/>
        <v>1176.0435370430484</v>
      </c>
      <c r="J132" s="202">
        <f t="shared" si="40"/>
        <v>4704.1741481721938</v>
      </c>
      <c r="K132" s="203">
        <f t="shared" si="34"/>
        <v>4709.9759498909589</v>
      </c>
      <c r="L132" s="204">
        <f t="shared" si="44"/>
        <v>-5.8018017187650912</v>
      </c>
      <c r="M132" s="205">
        <f t="shared" si="28"/>
        <v>-0.18061445981657043</v>
      </c>
      <c r="N132" s="206">
        <f t="shared" si="29"/>
        <v>-5.9824161785816621</v>
      </c>
      <c r="O132" s="205">
        <f t="shared" si="30"/>
        <v>0</v>
      </c>
      <c r="P132" s="205">
        <f t="shared" si="31"/>
        <v>0</v>
      </c>
      <c r="Q132" s="205">
        <v>0</v>
      </c>
      <c r="R132" s="206">
        <f t="shared" si="32"/>
        <v>-5.9824161785816621</v>
      </c>
    </row>
    <row r="133" spans="1:18" x14ac:dyDescent="0.2">
      <c r="A133" s="160">
        <v>6</v>
      </c>
      <c r="B133" s="197">
        <f t="shared" si="39"/>
        <v>44348</v>
      </c>
      <c r="C133" s="220">
        <f t="shared" si="41"/>
        <v>44383</v>
      </c>
      <c r="D133" s="220">
        <f t="shared" si="41"/>
        <v>44401</v>
      </c>
      <c r="E133" s="54" t="s">
        <v>15</v>
      </c>
      <c r="F133" s="160">
        <v>9</v>
      </c>
      <c r="G133" s="200">
        <v>13</v>
      </c>
      <c r="H133" s="201">
        <f t="shared" si="27"/>
        <v>1177.4939874727397</v>
      </c>
      <c r="I133" s="201">
        <f t="shared" si="43"/>
        <v>1176.0435370430484</v>
      </c>
      <c r="J133" s="202">
        <f t="shared" si="40"/>
        <v>15288.56598155963</v>
      </c>
      <c r="K133" s="203">
        <f t="shared" si="34"/>
        <v>15307.421837145615</v>
      </c>
      <c r="L133" s="208">
        <f t="shared" si="44"/>
        <v>-18.85585558598541</v>
      </c>
      <c r="M133" s="205">
        <f t="shared" si="28"/>
        <v>-0.586996994403854</v>
      </c>
      <c r="N133" s="206">
        <f t="shared" si="29"/>
        <v>-19.442852580389264</v>
      </c>
      <c r="O133" s="205">
        <f t="shared" si="30"/>
        <v>0</v>
      </c>
      <c r="P133" s="205">
        <f t="shared" si="31"/>
        <v>0</v>
      </c>
      <c r="Q133" s="205">
        <v>0</v>
      </c>
      <c r="R133" s="206">
        <f t="shared" si="32"/>
        <v>-19.442852580389264</v>
      </c>
    </row>
    <row r="134" spans="1:18" x14ac:dyDescent="0.2">
      <c r="A134" s="125">
        <v>7</v>
      </c>
      <c r="B134" s="197">
        <f t="shared" si="39"/>
        <v>44378</v>
      </c>
      <c r="C134" s="220">
        <f t="shared" si="41"/>
        <v>44412</v>
      </c>
      <c r="D134" s="220">
        <f t="shared" si="41"/>
        <v>44432</v>
      </c>
      <c r="E134" s="54" t="s">
        <v>15</v>
      </c>
      <c r="F134" s="160">
        <v>9</v>
      </c>
      <c r="G134" s="200">
        <v>17</v>
      </c>
      <c r="H134" s="201">
        <f t="shared" si="27"/>
        <v>1177.4939874727397</v>
      </c>
      <c r="I134" s="201">
        <f t="shared" si="43"/>
        <v>1176.0435370430484</v>
      </c>
      <c r="J134" s="202">
        <f t="shared" si="40"/>
        <v>19992.740129731825</v>
      </c>
      <c r="K134" s="209">
        <f t="shared" ref="K134:K197" si="45">+$G134*H134</f>
        <v>20017.397787036574</v>
      </c>
      <c r="L134" s="208">
        <f t="shared" si="44"/>
        <v>-24.657657304749591</v>
      </c>
      <c r="M134" s="205">
        <f t="shared" si="28"/>
        <v>-0.76761145422042443</v>
      </c>
      <c r="N134" s="206">
        <f t="shared" si="29"/>
        <v>-25.425268758970017</v>
      </c>
      <c r="O134" s="205">
        <f t="shared" si="30"/>
        <v>0</v>
      </c>
      <c r="P134" s="205">
        <f t="shared" si="31"/>
        <v>0</v>
      </c>
      <c r="Q134" s="205">
        <v>0</v>
      </c>
      <c r="R134" s="206">
        <f t="shared" si="32"/>
        <v>-25.425268758970017</v>
      </c>
    </row>
    <row r="135" spans="1:18" x14ac:dyDescent="0.2">
      <c r="A135" s="160">
        <v>8</v>
      </c>
      <c r="B135" s="197">
        <f t="shared" si="39"/>
        <v>44409</v>
      </c>
      <c r="C135" s="220">
        <f t="shared" si="41"/>
        <v>44442</v>
      </c>
      <c r="D135" s="220">
        <f t="shared" si="41"/>
        <v>44463</v>
      </c>
      <c r="E135" s="54" t="s">
        <v>15</v>
      </c>
      <c r="F135" s="160">
        <v>9</v>
      </c>
      <c r="G135" s="200">
        <v>17</v>
      </c>
      <c r="H135" s="201">
        <f t="shared" si="27"/>
        <v>1177.4939874727397</v>
      </c>
      <c r="I135" s="201">
        <f t="shared" si="43"/>
        <v>1176.0435370430484</v>
      </c>
      <c r="J135" s="202">
        <f t="shared" si="40"/>
        <v>19992.740129731825</v>
      </c>
      <c r="K135" s="209">
        <f t="shared" si="45"/>
        <v>20017.397787036574</v>
      </c>
      <c r="L135" s="208">
        <f t="shared" si="44"/>
        <v>-24.657657304749591</v>
      </c>
      <c r="M135" s="205">
        <f t="shared" si="28"/>
        <v>-0.76761145422042443</v>
      </c>
      <c r="N135" s="206">
        <f t="shared" si="29"/>
        <v>-25.425268758970017</v>
      </c>
      <c r="O135" s="205">
        <f t="shared" si="30"/>
        <v>0</v>
      </c>
      <c r="P135" s="205">
        <f t="shared" si="31"/>
        <v>0</v>
      </c>
      <c r="Q135" s="205">
        <v>0</v>
      </c>
      <c r="R135" s="206">
        <f t="shared" si="32"/>
        <v>-25.425268758970017</v>
      </c>
    </row>
    <row r="136" spans="1:18" x14ac:dyDescent="0.2">
      <c r="A136" s="160">
        <v>9</v>
      </c>
      <c r="B136" s="197">
        <f t="shared" si="39"/>
        <v>44440</v>
      </c>
      <c r="C136" s="220">
        <f t="shared" si="41"/>
        <v>44474</v>
      </c>
      <c r="D136" s="220">
        <f t="shared" si="41"/>
        <v>44494</v>
      </c>
      <c r="E136" s="54" t="s">
        <v>15</v>
      </c>
      <c r="F136" s="160">
        <v>9</v>
      </c>
      <c r="G136" s="200">
        <v>16</v>
      </c>
      <c r="H136" s="201">
        <f t="shared" si="27"/>
        <v>1177.4939874727397</v>
      </c>
      <c r="I136" s="201">
        <f t="shared" si="43"/>
        <v>1176.0435370430484</v>
      </c>
      <c r="J136" s="202">
        <f t="shared" si="40"/>
        <v>18816.696592688775</v>
      </c>
      <c r="K136" s="209">
        <f t="shared" si="45"/>
        <v>18839.903799563835</v>
      </c>
      <c r="L136" s="208">
        <f t="shared" si="44"/>
        <v>-23.207206875060365</v>
      </c>
      <c r="M136" s="205">
        <f t="shared" si="28"/>
        <v>-0.72245783926628171</v>
      </c>
      <c r="N136" s="206">
        <f t="shared" si="29"/>
        <v>-23.929664714326648</v>
      </c>
      <c r="O136" s="205">
        <f t="shared" si="30"/>
        <v>0</v>
      </c>
      <c r="P136" s="205">
        <f t="shared" si="31"/>
        <v>0</v>
      </c>
      <c r="Q136" s="205">
        <v>0</v>
      </c>
      <c r="R136" s="206">
        <f t="shared" si="32"/>
        <v>-23.929664714326648</v>
      </c>
    </row>
    <row r="137" spans="1:18" x14ac:dyDescent="0.2">
      <c r="A137" s="125">
        <v>10</v>
      </c>
      <c r="B137" s="197">
        <f t="shared" si="39"/>
        <v>44470</v>
      </c>
      <c r="C137" s="220">
        <f t="shared" si="41"/>
        <v>44503</v>
      </c>
      <c r="D137" s="220">
        <f t="shared" si="41"/>
        <v>44524</v>
      </c>
      <c r="E137" s="54" t="s">
        <v>15</v>
      </c>
      <c r="F137" s="160">
        <v>9</v>
      </c>
      <c r="G137" s="200">
        <v>5</v>
      </c>
      <c r="H137" s="201">
        <f t="shared" si="27"/>
        <v>1177.4939874727397</v>
      </c>
      <c r="I137" s="201">
        <f t="shared" si="43"/>
        <v>1176.0435370430484</v>
      </c>
      <c r="J137" s="202">
        <f t="shared" si="40"/>
        <v>5880.2176852152425</v>
      </c>
      <c r="K137" s="209">
        <f t="shared" si="45"/>
        <v>5887.4699373636986</v>
      </c>
      <c r="L137" s="208">
        <f t="shared" si="44"/>
        <v>-7.2522521484561366</v>
      </c>
      <c r="M137" s="205">
        <f t="shared" si="28"/>
        <v>-0.22576807477071306</v>
      </c>
      <c r="N137" s="206">
        <f t="shared" si="29"/>
        <v>-7.4780202232268493</v>
      </c>
      <c r="O137" s="205">
        <f t="shared" si="30"/>
        <v>0</v>
      </c>
      <c r="P137" s="205">
        <f t="shared" si="31"/>
        <v>0</v>
      </c>
      <c r="Q137" s="205">
        <v>0</v>
      </c>
      <c r="R137" s="206">
        <f t="shared" si="32"/>
        <v>-7.4780202232268493</v>
      </c>
    </row>
    <row r="138" spans="1:18" x14ac:dyDescent="0.2">
      <c r="A138" s="160">
        <v>11</v>
      </c>
      <c r="B138" s="197">
        <f t="shared" si="39"/>
        <v>44501</v>
      </c>
      <c r="C138" s="220">
        <f t="shared" si="41"/>
        <v>44533</v>
      </c>
      <c r="D138" s="220">
        <f t="shared" si="41"/>
        <v>44557</v>
      </c>
      <c r="E138" s="54" t="s">
        <v>15</v>
      </c>
      <c r="F138" s="160">
        <v>9</v>
      </c>
      <c r="G138" s="200">
        <v>5</v>
      </c>
      <c r="H138" s="201">
        <f t="shared" si="27"/>
        <v>1177.4939874727397</v>
      </c>
      <c r="I138" s="201">
        <f t="shared" si="43"/>
        <v>1176.0435370430484</v>
      </c>
      <c r="J138" s="202">
        <f t="shared" si="40"/>
        <v>5880.2176852152425</v>
      </c>
      <c r="K138" s="209">
        <f t="shared" si="45"/>
        <v>5887.4699373636986</v>
      </c>
      <c r="L138" s="208">
        <f t="shared" si="44"/>
        <v>-7.2522521484561366</v>
      </c>
      <c r="M138" s="205">
        <f t="shared" si="28"/>
        <v>-0.22576807477071306</v>
      </c>
      <c r="N138" s="206">
        <f t="shared" si="29"/>
        <v>-7.4780202232268493</v>
      </c>
      <c r="O138" s="205">
        <f t="shared" si="30"/>
        <v>0</v>
      </c>
      <c r="P138" s="205">
        <f t="shared" si="31"/>
        <v>0</v>
      </c>
      <c r="Q138" s="205">
        <v>0</v>
      </c>
      <c r="R138" s="206">
        <f t="shared" si="32"/>
        <v>-7.4780202232268493</v>
      </c>
    </row>
    <row r="139" spans="1:18" s="224" customFormat="1" x14ac:dyDescent="0.2">
      <c r="A139" s="160">
        <v>12</v>
      </c>
      <c r="B139" s="222">
        <f t="shared" si="39"/>
        <v>44531</v>
      </c>
      <c r="C139" s="220">
        <f t="shared" si="41"/>
        <v>44566</v>
      </c>
      <c r="D139" s="220">
        <f t="shared" si="41"/>
        <v>44585</v>
      </c>
      <c r="E139" s="223" t="s">
        <v>15</v>
      </c>
      <c r="F139" s="171">
        <v>9</v>
      </c>
      <c r="G139" s="200">
        <v>6</v>
      </c>
      <c r="H139" s="212">
        <f t="shared" si="27"/>
        <v>1177.4939874727397</v>
      </c>
      <c r="I139" s="212">
        <f t="shared" si="43"/>
        <v>1176.0435370430484</v>
      </c>
      <c r="J139" s="213">
        <f t="shared" si="40"/>
        <v>7056.2612222582902</v>
      </c>
      <c r="K139" s="214">
        <f t="shared" si="45"/>
        <v>7064.9639248364383</v>
      </c>
      <c r="L139" s="215">
        <f t="shared" si="44"/>
        <v>-8.7027025781480916</v>
      </c>
      <c r="M139" s="205">
        <f t="shared" si="28"/>
        <v>-0.2709216897248557</v>
      </c>
      <c r="N139" s="206">
        <f t="shared" si="29"/>
        <v>-8.9736242678729479</v>
      </c>
      <c r="O139" s="205">
        <f t="shared" si="30"/>
        <v>0</v>
      </c>
      <c r="P139" s="205">
        <f t="shared" si="31"/>
        <v>0</v>
      </c>
      <c r="Q139" s="205">
        <v>0</v>
      </c>
      <c r="R139" s="206">
        <f t="shared" si="32"/>
        <v>-8.9736242678729479</v>
      </c>
    </row>
    <row r="140" spans="1:18" x14ac:dyDescent="0.2">
      <c r="A140" s="125">
        <v>1</v>
      </c>
      <c r="B140" s="197">
        <f t="shared" si="39"/>
        <v>44197</v>
      </c>
      <c r="C140" s="217">
        <f t="shared" ref="C140:D151" si="46">+C128</f>
        <v>44230</v>
      </c>
      <c r="D140" s="217">
        <f t="shared" si="46"/>
        <v>44251</v>
      </c>
      <c r="E140" s="227" t="s">
        <v>16</v>
      </c>
      <c r="F140" s="160">
        <v>9</v>
      </c>
      <c r="G140" s="200">
        <v>3</v>
      </c>
      <c r="H140" s="201">
        <f t="shared" si="27"/>
        <v>1177.4939874727397</v>
      </c>
      <c r="I140" s="201">
        <f t="shared" si="43"/>
        <v>1176.0435370430484</v>
      </c>
      <c r="J140" s="202">
        <f t="shared" si="40"/>
        <v>3528.1306111291451</v>
      </c>
      <c r="K140" s="203">
        <f t="shared" si="45"/>
        <v>3532.4819624182192</v>
      </c>
      <c r="L140" s="204">
        <f t="shared" si="44"/>
        <v>-4.3513512890740458</v>
      </c>
      <c r="M140" s="205">
        <f t="shared" si="28"/>
        <v>-0.13546084486242785</v>
      </c>
      <c r="N140" s="206">
        <f t="shared" si="29"/>
        <v>-4.4868121339364739</v>
      </c>
      <c r="O140" s="205">
        <f t="shared" si="30"/>
        <v>0</v>
      </c>
      <c r="P140" s="205">
        <f t="shared" si="31"/>
        <v>0</v>
      </c>
      <c r="Q140" s="205">
        <v>0</v>
      </c>
      <c r="R140" s="206">
        <f t="shared" si="32"/>
        <v>-4.4868121339364739</v>
      </c>
    </row>
    <row r="141" spans="1:18" x14ac:dyDescent="0.2">
      <c r="A141" s="160">
        <v>2</v>
      </c>
      <c r="B141" s="197">
        <f t="shared" si="39"/>
        <v>44228</v>
      </c>
      <c r="C141" s="220">
        <f t="shared" si="46"/>
        <v>44258</v>
      </c>
      <c r="D141" s="220">
        <f t="shared" si="46"/>
        <v>44279</v>
      </c>
      <c r="E141" s="54" t="s">
        <v>16</v>
      </c>
      <c r="F141" s="160">
        <v>9</v>
      </c>
      <c r="G141" s="200">
        <v>5</v>
      </c>
      <c r="H141" s="201">
        <f t="shared" si="27"/>
        <v>1177.4939874727397</v>
      </c>
      <c r="I141" s="201">
        <f t="shared" si="43"/>
        <v>1176.0435370430484</v>
      </c>
      <c r="J141" s="202">
        <f t="shared" si="40"/>
        <v>5880.2176852152425</v>
      </c>
      <c r="K141" s="203">
        <f t="shared" si="45"/>
        <v>5887.4699373636986</v>
      </c>
      <c r="L141" s="204">
        <f t="shared" si="44"/>
        <v>-7.2522521484561366</v>
      </c>
      <c r="M141" s="205">
        <f t="shared" si="28"/>
        <v>-0.22576807477071306</v>
      </c>
      <c r="N141" s="206">
        <f t="shared" si="29"/>
        <v>-7.4780202232268493</v>
      </c>
      <c r="O141" s="205">
        <f t="shared" si="30"/>
        <v>0</v>
      </c>
      <c r="P141" s="205">
        <f t="shared" si="31"/>
        <v>0</v>
      </c>
      <c r="Q141" s="205">
        <v>0</v>
      </c>
      <c r="R141" s="206">
        <f t="shared" si="32"/>
        <v>-7.4780202232268493</v>
      </c>
    </row>
    <row r="142" spans="1:18" x14ac:dyDescent="0.2">
      <c r="A142" s="160">
        <v>3</v>
      </c>
      <c r="B142" s="197">
        <f t="shared" si="39"/>
        <v>44256</v>
      </c>
      <c r="C142" s="220">
        <f t="shared" si="46"/>
        <v>44291</v>
      </c>
      <c r="D142" s="220">
        <f t="shared" si="46"/>
        <v>44312</v>
      </c>
      <c r="E142" s="54" t="s">
        <v>16</v>
      </c>
      <c r="F142" s="160">
        <v>9</v>
      </c>
      <c r="G142" s="200">
        <v>4</v>
      </c>
      <c r="H142" s="201">
        <f t="shared" si="27"/>
        <v>1177.4939874727397</v>
      </c>
      <c r="I142" s="201">
        <f t="shared" si="43"/>
        <v>1176.0435370430484</v>
      </c>
      <c r="J142" s="202">
        <f t="shared" si="40"/>
        <v>4704.1741481721938</v>
      </c>
      <c r="K142" s="203">
        <f t="shared" si="45"/>
        <v>4709.9759498909589</v>
      </c>
      <c r="L142" s="204">
        <f>+J142-K142</f>
        <v>-5.8018017187650912</v>
      </c>
      <c r="M142" s="205">
        <f t="shared" si="28"/>
        <v>-0.18061445981657043</v>
      </c>
      <c r="N142" s="206">
        <f t="shared" si="29"/>
        <v>-5.9824161785816621</v>
      </c>
      <c r="O142" s="205">
        <f t="shared" si="30"/>
        <v>0</v>
      </c>
      <c r="P142" s="205">
        <f t="shared" si="31"/>
        <v>0</v>
      </c>
      <c r="Q142" s="205">
        <v>0</v>
      </c>
      <c r="R142" s="206">
        <f t="shared" si="32"/>
        <v>-5.9824161785816621</v>
      </c>
    </row>
    <row r="143" spans="1:18" x14ac:dyDescent="0.2">
      <c r="A143" s="125">
        <v>4</v>
      </c>
      <c r="B143" s="197">
        <f t="shared" si="39"/>
        <v>44287</v>
      </c>
      <c r="C143" s="220">
        <f t="shared" si="46"/>
        <v>44321</v>
      </c>
      <c r="D143" s="220">
        <f t="shared" si="46"/>
        <v>44340</v>
      </c>
      <c r="E143" s="54" t="s">
        <v>16</v>
      </c>
      <c r="F143" s="160">
        <v>9</v>
      </c>
      <c r="G143" s="200">
        <v>4</v>
      </c>
      <c r="H143" s="201">
        <f t="shared" si="27"/>
        <v>1177.4939874727397</v>
      </c>
      <c r="I143" s="201">
        <f t="shared" si="43"/>
        <v>1176.0435370430484</v>
      </c>
      <c r="J143" s="202">
        <f t="shared" si="40"/>
        <v>4704.1741481721938</v>
      </c>
      <c r="K143" s="203">
        <f t="shared" si="45"/>
        <v>4709.9759498909589</v>
      </c>
      <c r="L143" s="204">
        <f t="shared" ref="L143:L153" si="47">+J143-K143</f>
        <v>-5.8018017187650912</v>
      </c>
      <c r="M143" s="205">
        <f t="shared" si="28"/>
        <v>-0.18061445981657043</v>
      </c>
      <c r="N143" s="206">
        <f t="shared" si="29"/>
        <v>-5.9824161785816621</v>
      </c>
      <c r="O143" s="205">
        <f t="shared" si="30"/>
        <v>0</v>
      </c>
      <c r="P143" s="205">
        <f t="shared" si="31"/>
        <v>0</v>
      </c>
      <c r="Q143" s="205">
        <v>0</v>
      </c>
      <c r="R143" s="206">
        <f t="shared" si="32"/>
        <v>-5.9824161785816621</v>
      </c>
    </row>
    <row r="144" spans="1:18" x14ac:dyDescent="0.2">
      <c r="A144" s="160">
        <v>5</v>
      </c>
      <c r="B144" s="197">
        <f t="shared" si="39"/>
        <v>44317</v>
      </c>
      <c r="C144" s="220">
        <f t="shared" si="46"/>
        <v>44350</v>
      </c>
      <c r="D144" s="220">
        <f t="shared" si="46"/>
        <v>44371</v>
      </c>
      <c r="E144" s="54" t="s">
        <v>16</v>
      </c>
      <c r="F144" s="160">
        <v>9</v>
      </c>
      <c r="G144" s="200">
        <v>3</v>
      </c>
      <c r="H144" s="201">
        <f t="shared" si="27"/>
        <v>1177.4939874727397</v>
      </c>
      <c r="I144" s="201">
        <f t="shared" si="43"/>
        <v>1176.0435370430484</v>
      </c>
      <c r="J144" s="202">
        <f t="shared" si="40"/>
        <v>3528.1306111291451</v>
      </c>
      <c r="K144" s="203">
        <f t="shared" si="45"/>
        <v>3532.4819624182192</v>
      </c>
      <c r="L144" s="204">
        <f t="shared" si="47"/>
        <v>-4.3513512890740458</v>
      </c>
      <c r="M144" s="205">
        <f t="shared" si="28"/>
        <v>-0.13546084486242785</v>
      </c>
      <c r="N144" s="206">
        <f t="shared" si="29"/>
        <v>-4.4868121339364739</v>
      </c>
      <c r="O144" s="205">
        <f t="shared" si="30"/>
        <v>0</v>
      </c>
      <c r="P144" s="205">
        <f t="shared" si="31"/>
        <v>0</v>
      </c>
      <c r="Q144" s="205">
        <v>0</v>
      </c>
      <c r="R144" s="206">
        <f t="shared" si="32"/>
        <v>-4.4868121339364739</v>
      </c>
    </row>
    <row r="145" spans="1:19" x14ac:dyDescent="0.2">
      <c r="A145" s="160">
        <v>6</v>
      </c>
      <c r="B145" s="197">
        <f t="shared" si="39"/>
        <v>44348</v>
      </c>
      <c r="C145" s="220">
        <f t="shared" si="46"/>
        <v>44383</v>
      </c>
      <c r="D145" s="220">
        <f t="shared" si="46"/>
        <v>44401</v>
      </c>
      <c r="E145" s="54" t="s">
        <v>16</v>
      </c>
      <c r="F145" s="160">
        <v>9</v>
      </c>
      <c r="G145" s="200">
        <v>5</v>
      </c>
      <c r="H145" s="201">
        <f t="shared" si="27"/>
        <v>1177.4939874727397</v>
      </c>
      <c r="I145" s="201">
        <f t="shared" si="43"/>
        <v>1176.0435370430484</v>
      </c>
      <c r="J145" s="202">
        <f t="shared" si="40"/>
        <v>5880.2176852152425</v>
      </c>
      <c r="K145" s="203">
        <f t="shared" si="45"/>
        <v>5887.4699373636986</v>
      </c>
      <c r="L145" s="208">
        <f t="shared" si="47"/>
        <v>-7.2522521484561366</v>
      </c>
      <c r="M145" s="205">
        <f t="shared" si="28"/>
        <v>-0.22576807477071306</v>
      </c>
      <c r="N145" s="206">
        <f t="shared" si="29"/>
        <v>-7.4780202232268493</v>
      </c>
      <c r="O145" s="205">
        <f t="shared" si="30"/>
        <v>0</v>
      </c>
      <c r="P145" s="205">
        <f t="shared" si="31"/>
        <v>0</v>
      </c>
      <c r="Q145" s="205">
        <v>0</v>
      </c>
      <c r="R145" s="206">
        <f t="shared" si="32"/>
        <v>-7.4780202232268493</v>
      </c>
    </row>
    <row r="146" spans="1:19" x14ac:dyDescent="0.2">
      <c r="A146" s="125">
        <v>7</v>
      </c>
      <c r="B146" s="197">
        <f t="shared" si="39"/>
        <v>44378</v>
      </c>
      <c r="C146" s="220">
        <f t="shared" si="46"/>
        <v>44412</v>
      </c>
      <c r="D146" s="220">
        <f t="shared" si="46"/>
        <v>44432</v>
      </c>
      <c r="E146" s="54" t="s">
        <v>16</v>
      </c>
      <c r="F146" s="160">
        <v>9</v>
      </c>
      <c r="G146" s="200">
        <v>5</v>
      </c>
      <c r="H146" s="201">
        <f t="shared" si="27"/>
        <v>1177.4939874727397</v>
      </c>
      <c r="I146" s="201">
        <f t="shared" si="43"/>
        <v>1176.0435370430484</v>
      </c>
      <c r="J146" s="202">
        <f t="shared" si="40"/>
        <v>5880.2176852152425</v>
      </c>
      <c r="K146" s="209">
        <f t="shared" si="45"/>
        <v>5887.4699373636986</v>
      </c>
      <c r="L146" s="208">
        <f t="shared" si="47"/>
        <v>-7.2522521484561366</v>
      </c>
      <c r="M146" s="205">
        <f t="shared" si="28"/>
        <v>-0.22576807477071306</v>
      </c>
      <c r="N146" s="206">
        <f t="shared" si="29"/>
        <v>-7.4780202232268493</v>
      </c>
      <c r="O146" s="205">
        <f t="shared" si="30"/>
        <v>0</v>
      </c>
      <c r="P146" s="205">
        <f t="shared" si="31"/>
        <v>0</v>
      </c>
      <c r="Q146" s="205">
        <v>0</v>
      </c>
      <c r="R146" s="206">
        <f t="shared" si="32"/>
        <v>-7.4780202232268493</v>
      </c>
    </row>
    <row r="147" spans="1:19" x14ac:dyDescent="0.2">
      <c r="A147" s="160">
        <v>8</v>
      </c>
      <c r="B147" s="197">
        <f t="shared" si="39"/>
        <v>44409</v>
      </c>
      <c r="C147" s="220">
        <f t="shared" si="46"/>
        <v>44442</v>
      </c>
      <c r="D147" s="220">
        <f t="shared" si="46"/>
        <v>44463</v>
      </c>
      <c r="E147" s="54" t="s">
        <v>16</v>
      </c>
      <c r="F147" s="160">
        <v>9</v>
      </c>
      <c r="G147" s="200">
        <v>4</v>
      </c>
      <c r="H147" s="201">
        <f t="shared" si="27"/>
        <v>1177.4939874727397</v>
      </c>
      <c r="I147" s="201">
        <f t="shared" si="43"/>
        <v>1176.0435370430484</v>
      </c>
      <c r="J147" s="202">
        <f t="shared" si="40"/>
        <v>4704.1741481721938</v>
      </c>
      <c r="K147" s="209">
        <f t="shared" si="45"/>
        <v>4709.9759498909589</v>
      </c>
      <c r="L147" s="208">
        <f t="shared" si="47"/>
        <v>-5.8018017187650912</v>
      </c>
      <c r="M147" s="205">
        <f t="shared" si="28"/>
        <v>-0.18061445981657043</v>
      </c>
      <c r="N147" s="206">
        <f t="shared" si="29"/>
        <v>-5.9824161785816621</v>
      </c>
      <c r="O147" s="205">
        <f t="shared" si="30"/>
        <v>0</v>
      </c>
      <c r="P147" s="205">
        <f t="shared" si="31"/>
        <v>0</v>
      </c>
      <c r="Q147" s="205">
        <v>0</v>
      </c>
      <c r="R147" s="206">
        <f t="shared" si="32"/>
        <v>-5.9824161785816621</v>
      </c>
    </row>
    <row r="148" spans="1:19" x14ac:dyDescent="0.2">
      <c r="A148" s="160">
        <v>9</v>
      </c>
      <c r="B148" s="197">
        <f t="shared" si="39"/>
        <v>44440</v>
      </c>
      <c r="C148" s="220">
        <f t="shared" si="46"/>
        <v>44474</v>
      </c>
      <c r="D148" s="220">
        <f t="shared" si="46"/>
        <v>44494</v>
      </c>
      <c r="E148" s="54" t="s">
        <v>16</v>
      </c>
      <c r="F148" s="160">
        <v>9</v>
      </c>
      <c r="G148" s="200">
        <v>4</v>
      </c>
      <c r="H148" s="201">
        <f t="shared" si="27"/>
        <v>1177.4939874727397</v>
      </c>
      <c r="I148" s="201">
        <f t="shared" ref="I148:I179" si="48">$J$3</f>
        <v>1176.0435370430484</v>
      </c>
      <c r="J148" s="202">
        <f t="shared" si="40"/>
        <v>4704.1741481721938</v>
      </c>
      <c r="K148" s="209">
        <f t="shared" si="45"/>
        <v>4709.9759498909589</v>
      </c>
      <c r="L148" s="208">
        <f t="shared" si="47"/>
        <v>-5.8018017187650912</v>
      </c>
      <c r="M148" s="205">
        <f t="shared" si="28"/>
        <v>-0.18061445981657043</v>
      </c>
      <c r="N148" s="206">
        <f t="shared" si="29"/>
        <v>-5.9824161785816621</v>
      </c>
      <c r="O148" s="205">
        <f t="shared" si="30"/>
        <v>0</v>
      </c>
      <c r="P148" s="205">
        <f t="shared" si="31"/>
        <v>0</v>
      </c>
      <c r="Q148" s="205">
        <v>0</v>
      </c>
      <c r="R148" s="206">
        <f t="shared" si="32"/>
        <v>-5.9824161785816621</v>
      </c>
    </row>
    <row r="149" spans="1:19" x14ac:dyDescent="0.2">
      <c r="A149" s="125">
        <v>10</v>
      </c>
      <c r="B149" s="197">
        <f t="shared" ref="B149:B211" si="49">DATE($R$1,A149,1)</f>
        <v>44470</v>
      </c>
      <c r="C149" s="220">
        <f t="shared" si="46"/>
        <v>44503</v>
      </c>
      <c r="D149" s="220">
        <f t="shared" si="46"/>
        <v>44524</v>
      </c>
      <c r="E149" s="54" t="s">
        <v>16</v>
      </c>
      <c r="F149" s="160">
        <v>9</v>
      </c>
      <c r="G149" s="200">
        <v>4</v>
      </c>
      <c r="H149" s="201">
        <f t="shared" ref="H149:H211" si="50">+$K$3</f>
        <v>1177.4939874727397</v>
      </c>
      <c r="I149" s="201">
        <f t="shared" si="48"/>
        <v>1176.0435370430484</v>
      </c>
      <c r="J149" s="202">
        <f t="shared" ref="J149:J211" si="51">+$G149*I149</f>
        <v>4704.1741481721938</v>
      </c>
      <c r="K149" s="209">
        <f t="shared" si="45"/>
        <v>4709.9759498909589</v>
      </c>
      <c r="L149" s="208">
        <f t="shared" si="47"/>
        <v>-5.8018017187650912</v>
      </c>
      <c r="M149" s="205">
        <f t="shared" ref="M149:M211" si="52">G149/$G$212*$M$14</f>
        <v>-0.18061445981657043</v>
      </c>
      <c r="N149" s="206">
        <f t="shared" ref="N149:N211" si="53">SUM(L149:M149)</f>
        <v>-5.9824161785816621</v>
      </c>
      <c r="O149" s="205">
        <f t="shared" ref="O149:O211" si="54">+$P$3</f>
        <v>0</v>
      </c>
      <c r="P149" s="205">
        <f t="shared" ref="P149:P211" si="55">+G149*O149</f>
        <v>0</v>
      </c>
      <c r="Q149" s="205">
        <v>0</v>
      </c>
      <c r="R149" s="206">
        <f t="shared" ref="R149:R211" si="56">+N149-Q149</f>
        <v>-5.9824161785816621</v>
      </c>
    </row>
    <row r="150" spans="1:19" x14ac:dyDescent="0.2">
      <c r="A150" s="160">
        <v>11</v>
      </c>
      <c r="B150" s="197">
        <f t="shared" si="49"/>
        <v>44501</v>
      </c>
      <c r="C150" s="220">
        <f t="shared" si="46"/>
        <v>44533</v>
      </c>
      <c r="D150" s="220">
        <f t="shared" si="46"/>
        <v>44557</v>
      </c>
      <c r="E150" s="54" t="s">
        <v>16</v>
      </c>
      <c r="F150" s="160">
        <v>9</v>
      </c>
      <c r="G150" s="200">
        <v>4</v>
      </c>
      <c r="H150" s="201">
        <f t="shared" si="50"/>
        <v>1177.4939874727397</v>
      </c>
      <c r="I150" s="201">
        <f t="shared" si="48"/>
        <v>1176.0435370430484</v>
      </c>
      <c r="J150" s="202">
        <f t="shared" si="51"/>
        <v>4704.1741481721938</v>
      </c>
      <c r="K150" s="209">
        <f t="shared" si="45"/>
        <v>4709.9759498909589</v>
      </c>
      <c r="L150" s="208">
        <f t="shared" si="47"/>
        <v>-5.8018017187650912</v>
      </c>
      <c r="M150" s="205">
        <f t="shared" si="52"/>
        <v>-0.18061445981657043</v>
      </c>
      <c r="N150" s="206">
        <f t="shared" si="53"/>
        <v>-5.9824161785816621</v>
      </c>
      <c r="O150" s="205">
        <f t="shared" si="54"/>
        <v>0</v>
      </c>
      <c r="P150" s="205">
        <f t="shared" si="55"/>
        <v>0</v>
      </c>
      <c r="Q150" s="205">
        <v>0</v>
      </c>
      <c r="R150" s="206">
        <f t="shared" si="56"/>
        <v>-5.9824161785816621</v>
      </c>
    </row>
    <row r="151" spans="1:19" s="224" customFormat="1" x14ac:dyDescent="0.2">
      <c r="A151" s="160">
        <v>12</v>
      </c>
      <c r="B151" s="222">
        <f t="shared" si="49"/>
        <v>44531</v>
      </c>
      <c r="C151" s="220">
        <f t="shared" si="46"/>
        <v>44566</v>
      </c>
      <c r="D151" s="220">
        <f t="shared" si="46"/>
        <v>44585</v>
      </c>
      <c r="E151" s="223" t="s">
        <v>16</v>
      </c>
      <c r="F151" s="171">
        <v>9</v>
      </c>
      <c r="G151" s="200">
        <v>1</v>
      </c>
      <c r="H151" s="212">
        <f t="shared" si="50"/>
        <v>1177.4939874727397</v>
      </c>
      <c r="I151" s="212">
        <f t="shared" si="48"/>
        <v>1176.0435370430484</v>
      </c>
      <c r="J151" s="213">
        <f t="shared" si="51"/>
        <v>1176.0435370430484</v>
      </c>
      <c r="K151" s="214">
        <f t="shared" si="45"/>
        <v>1177.4939874727397</v>
      </c>
      <c r="L151" s="215">
        <f t="shared" si="47"/>
        <v>-1.4504504296912728</v>
      </c>
      <c r="M151" s="205">
        <f t="shared" si="52"/>
        <v>-4.5153614954142607E-2</v>
      </c>
      <c r="N151" s="206">
        <f t="shared" si="53"/>
        <v>-1.4956040446454155</v>
      </c>
      <c r="O151" s="205">
        <f t="shared" si="54"/>
        <v>0</v>
      </c>
      <c r="P151" s="205">
        <f t="shared" si="55"/>
        <v>0</v>
      </c>
      <c r="Q151" s="205">
        <v>0</v>
      </c>
      <c r="R151" s="206">
        <f t="shared" si="56"/>
        <v>-1.4956040446454155</v>
      </c>
    </row>
    <row r="152" spans="1:19" x14ac:dyDescent="0.2">
      <c r="A152" s="125">
        <v>1</v>
      </c>
      <c r="B152" s="197">
        <f t="shared" si="49"/>
        <v>44197</v>
      </c>
      <c r="C152" s="217">
        <f t="shared" ref="C152:D171" si="57">+C140</f>
        <v>44230</v>
      </c>
      <c r="D152" s="217">
        <f t="shared" si="57"/>
        <v>44251</v>
      </c>
      <c r="E152" s="227" t="s">
        <v>56</v>
      </c>
      <c r="F152" s="125">
        <v>9</v>
      </c>
      <c r="G152" s="200">
        <v>104</v>
      </c>
      <c r="H152" s="201">
        <f t="shared" si="50"/>
        <v>1177.4939874727397</v>
      </c>
      <c r="I152" s="201">
        <f t="shared" si="48"/>
        <v>1176.0435370430484</v>
      </c>
      <c r="J152" s="202">
        <f t="shared" si="51"/>
        <v>122308.52785247704</v>
      </c>
      <c r="K152" s="203">
        <f t="shared" si="45"/>
        <v>122459.37469716492</v>
      </c>
      <c r="L152" s="204">
        <f t="shared" si="47"/>
        <v>-150.84684468788328</v>
      </c>
      <c r="M152" s="205">
        <f t="shared" si="52"/>
        <v>-4.695975955230832</v>
      </c>
      <c r="N152" s="206">
        <f t="shared" si="53"/>
        <v>-155.54282064311411</v>
      </c>
      <c r="O152" s="205">
        <f t="shared" si="54"/>
        <v>0</v>
      </c>
      <c r="P152" s="205">
        <f t="shared" si="55"/>
        <v>0</v>
      </c>
      <c r="Q152" s="205">
        <v>0</v>
      </c>
      <c r="R152" s="206">
        <f t="shared" si="56"/>
        <v>-155.54282064311411</v>
      </c>
    </row>
    <row r="153" spans="1:19" x14ac:dyDescent="0.2">
      <c r="A153" s="160">
        <v>2</v>
      </c>
      <c r="B153" s="197">
        <f t="shared" si="49"/>
        <v>44228</v>
      </c>
      <c r="C153" s="220">
        <f t="shared" si="57"/>
        <v>44258</v>
      </c>
      <c r="D153" s="220">
        <f t="shared" si="57"/>
        <v>44279</v>
      </c>
      <c r="E153" s="228" t="s">
        <v>56</v>
      </c>
      <c r="F153" s="160">
        <v>9</v>
      </c>
      <c r="G153" s="200">
        <v>133</v>
      </c>
      <c r="H153" s="201">
        <f t="shared" si="50"/>
        <v>1177.4939874727397</v>
      </c>
      <c r="I153" s="201">
        <f t="shared" si="48"/>
        <v>1176.0435370430484</v>
      </c>
      <c r="J153" s="202">
        <f t="shared" si="51"/>
        <v>156413.79042672543</v>
      </c>
      <c r="K153" s="203">
        <f t="shared" si="45"/>
        <v>156606.70033387438</v>
      </c>
      <c r="L153" s="204">
        <f t="shared" si="47"/>
        <v>-192.90990714894724</v>
      </c>
      <c r="M153" s="205">
        <f t="shared" si="52"/>
        <v>-6.0054307889009673</v>
      </c>
      <c r="N153" s="206">
        <f t="shared" si="53"/>
        <v>-198.91533793784822</v>
      </c>
      <c r="O153" s="205">
        <f t="shared" si="54"/>
        <v>0</v>
      </c>
      <c r="P153" s="205">
        <f t="shared" si="55"/>
        <v>0</v>
      </c>
      <c r="Q153" s="205">
        <v>0</v>
      </c>
      <c r="R153" s="206">
        <f t="shared" si="56"/>
        <v>-198.91533793784822</v>
      </c>
    </row>
    <row r="154" spans="1:19" x14ac:dyDescent="0.2">
      <c r="A154" s="160">
        <v>3</v>
      </c>
      <c r="B154" s="197">
        <f t="shared" si="49"/>
        <v>44256</v>
      </c>
      <c r="C154" s="220">
        <f t="shared" si="57"/>
        <v>44291</v>
      </c>
      <c r="D154" s="220">
        <f t="shared" si="57"/>
        <v>44312</v>
      </c>
      <c r="E154" s="228" t="s">
        <v>56</v>
      </c>
      <c r="F154" s="160">
        <v>9</v>
      </c>
      <c r="G154" s="200">
        <v>87</v>
      </c>
      <c r="H154" s="201">
        <f t="shared" si="50"/>
        <v>1177.4939874727397</v>
      </c>
      <c r="I154" s="201">
        <f t="shared" si="48"/>
        <v>1176.0435370430484</v>
      </c>
      <c r="J154" s="202">
        <f t="shared" si="51"/>
        <v>102315.78772274521</v>
      </c>
      <c r="K154" s="203">
        <f t="shared" si="45"/>
        <v>102441.97691012836</v>
      </c>
      <c r="L154" s="204">
        <f>+J154-K154</f>
        <v>-126.18918738314824</v>
      </c>
      <c r="M154" s="205">
        <f t="shared" si="52"/>
        <v>-3.9283645010104076</v>
      </c>
      <c r="N154" s="206">
        <f t="shared" si="53"/>
        <v>-130.11755188415864</v>
      </c>
      <c r="O154" s="205">
        <f t="shared" si="54"/>
        <v>0</v>
      </c>
      <c r="P154" s="205">
        <f t="shared" si="55"/>
        <v>0</v>
      </c>
      <c r="Q154" s="205">
        <v>0</v>
      </c>
      <c r="R154" s="206">
        <f t="shared" si="56"/>
        <v>-130.11755188415864</v>
      </c>
    </row>
    <row r="155" spans="1:19" x14ac:dyDescent="0.2">
      <c r="A155" s="125">
        <v>4</v>
      </c>
      <c r="B155" s="197">
        <f t="shared" si="49"/>
        <v>44287</v>
      </c>
      <c r="C155" s="220">
        <f t="shared" si="57"/>
        <v>44321</v>
      </c>
      <c r="D155" s="220">
        <f t="shared" si="57"/>
        <v>44340</v>
      </c>
      <c r="E155" s="228" t="s">
        <v>56</v>
      </c>
      <c r="F155" s="160">
        <v>9</v>
      </c>
      <c r="G155" s="200">
        <v>77</v>
      </c>
      <c r="H155" s="201">
        <f t="shared" si="50"/>
        <v>1177.4939874727397</v>
      </c>
      <c r="I155" s="201">
        <f t="shared" si="48"/>
        <v>1176.0435370430484</v>
      </c>
      <c r="J155" s="202">
        <f t="shared" si="51"/>
        <v>90555.352352314731</v>
      </c>
      <c r="K155" s="203">
        <f t="shared" si="45"/>
        <v>90667.037035400965</v>
      </c>
      <c r="L155" s="204">
        <f t="shared" ref="L155:L165" si="58">+J155-K155</f>
        <v>-111.68468308623414</v>
      </c>
      <c r="M155" s="205">
        <f t="shared" si="52"/>
        <v>-3.4768283514689813</v>
      </c>
      <c r="N155" s="206">
        <f t="shared" si="53"/>
        <v>-115.16151143770313</v>
      </c>
      <c r="O155" s="205">
        <f t="shared" si="54"/>
        <v>0</v>
      </c>
      <c r="P155" s="205">
        <f t="shared" si="55"/>
        <v>0</v>
      </c>
      <c r="Q155" s="205">
        <v>0</v>
      </c>
      <c r="R155" s="206">
        <f t="shared" si="56"/>
        <v>-115.16151143770313</v>
      </c>
    </row>
    <row r="156" spans="1:19" x14ac:dyDescent="0.2">
      <c r="A156" s="160">
        <v>5</v>
      </c>
      <c r="B156" s="197">
        <f t="shared" si="49"/>
        <v>44317</v>
      </c>
      <c r="C156" s="220">
        <f t="shared" si="57"/>
        <v>44350</v>
      </c>
      <c r="D156" s="220">
        <f t="shared" si="57"/>
        <v>44371</v>
      </c>
      <c r="E156" s="228" t="s">
        <v>56</v>
      </c>
      <c r="F156" s="160">
        <v>9</v>
      </c>
      <c r="G156" s="200">
        <v>104</v>
      </c>
      <c r="H156" s="201">
        <f t="shared" si="50"/>
        <v>1177.4939874727397</v>
      </c>
      <c r="I156" s="201">
        <f t="shared" si="48"/>
        <v>1176.0435370430484</v>
      </c>
      <c r="J156" s="202">
        <f t="shared" si="51"/>
        <v>122308.52785247704</v>
      </c>
      <c r="K156" s="203">
        <f t="shared" si="45"/>
        <v>122459.37469716492</v>
      </c>
      <c r="L156" s="204">
        <f t="shared" si="58"/>
        <v>-150.84684468788328</v>
      </c>
      <c r="M156" s="205">
        <f t="shared" si="52"/>
        <v>-4.695975955230832</v>
      </c>
      <c r="N156" s="206">
        <f t="shared" si="53"/>
        <v>-155.54282064311411</v>
      </c>
      <c r="O156" s="205">
        <f t="shared" si="54"/>
        <v>0</v>
      </c>
      <c r="P156" s="205">
        <f t="shared" si="55"/>
        <v>0</v>
      </c>
      <c r="Q156" s="205">
        <v>0</v>
      </c>
      <c r="R156" s="206">
        <f t="shared" si="56"/>
        <v>-155.54282064311411</v>
      </c>
    </row>
    <row r="157" spans="1:19" x14ac:dyDescent="0.2">
      <c r="A157" s="160">
        <v>6</v>
      </c>
      <c r="B157" s="197">
        <f t="shared" si="49"/>
        <v>44348</v>
      </c>
      <c r="C157" s="220">
        <f t="shared" si="57"/>
        <v>44383</v>
      </c>
      <c r="D157" s="220">
        <f t="shared" si="57"/>
        <v>44401</v>
      </c>
      <c r="E157" s="228" t="s">
        <v>56</v>
      </c>
      <c r="F157" s="160">
        <v>9</v>
      </c>
      <c r="G157" s="200">
        <v>144</v>
      </c>
      <c r="H157" s="201">
        <f t="shared" si="50"/>
        <v>1177.4939874727397</v>
      </c>
      <c r="I157" s="201">
        <f t="shared" si="48"/>
        <v>1176.0435370430484</v>
      </c>
      <c r="J157" s="202">
        <f t="shared" si="51"/>
        <v>169350.26933419897</v>
      </c>
      <c r="K157" s="203">
        <f t="shared" si="45"/>
        <v>169559.1341960745</v>
      </c>
      <c r="L157" s="208">
        <f t="shared" si="58"/>
        <v>-208.86486187553965</v>
      </c>
      <c r="M157" s="205">
        <f t="shared" si="52"/>
        <v>-6.5021205533965363</v>
      </c>
      <c r="N157" s="206">
        <f t="shared" si="53"/>
        <v>-215.36698242893618</v>
      </c>
      <c r="O157" s="205">
        <f t="shared" si="54"/>
        <v>0</v>
      </c>
      <c r="P157" s="205">
        <f t="shared" si="55"/>
        <v>0</v>
      </c>
      <c r="Q157" s="205">
        <v>0</v>
      </c>
      <c r="R157" s="206">
        <f t="shared" si="56"/>
        <v>-215.36698242893618</v>
      </c>
    </row>
    <row r="158" spans="1:19" x14ac:dyDescent="0.2">
      <c r="A158" s="125">
        <v>7</v>
      </c>
      <c r="B158" s="197">
        <f t="shared" si="49"/>
        <v>44378</v>
      </c>
      <c r="C158" s="220">
        <f t="shared" si="57"/>
        <v>44412</v>
      </c>
      <c r="D158" s="220">
        <f t="shared" si="57"/>
        <v>44432</v>
      </c>
      <c r="E158" s="228" t="s">
        <v>56</v>
      </c>
      <c r="F158" s="160">
        <v>9</v>
      </c>
      <c r="G158" s="200">
        <v>161</v>
      </c>
      <c r="H158" s="201">
        <f t="shared" si="50"/>
        <v>1177.4939874727397</v>
      </c>
      <c r="I158" s="201">
        <f t="shared" si="48"/>
        <v>1176.0435370430484</v>
      </c>
      <c r="J158" s="202">
        <f t="shared" si="51"/>
        <v>189343.00946393079</v>
      </c>
      <c r="K158" s="209">
        <f t="shared" si="45"/>
        <v>189576.53198311108</v>
      </c>
      <c r="L158" s="208">
        <f t="shared" si="58"/>
        <v>-233.52251918028924</v>
      </c>
      <c r="M158" s="205">
        <f t="shared" si="52"/>
        <v>-7.2697320076169607</v>
      </c>
      <c r="N158" s="206">
        <f t="shared" si="53"/>
        <v>-240.7922511879062</v>
      </c>
      <c r="O158" s="205">
        <f t="shared" si="54"/>
        <v>0</v>
      </c>
      <c r="P158" s="205">
        <f t="shared" si="55"/>
        <v>0</v>
      </c>
      <c r="Q158" s="205">
        <v>0</v>
      </c>
      <c r="R158" s="206">
        <f t="shared" si="56"/>
        <v>-240.7922511879062</v>
      </c>
    </row>
    <row r="159" spans="1:19" x14ac:dyDescent="0.2">
      <c r="A159" s="160">
        <v>8</v>
      </c>
      <c r="B159" s="197">
        <f t="shared" si="49"/>
        <v>44409</v>
      </c>
      <c r="C159" s="220">
        <f t="shared" si="57"/>
        <v>44442</v>
      </c>
      <c r="D159" s="220">
        <f t="shared" si="57"/>
        <v>44463</v>
      </c>
      <c r="E159" s="228" t="s">
        <v>56</v>
      </c>
      <c r="F159" s="125">
        <v>9</v>
      </c>
      <c r="G159" s="200">
        <v>163</v>
      </c>
      <c r="H159" s="201">
        <f t="shared" si="50"/>
        <v>1177.4939874727397</v>
      </c>
      <c r="I159" s="201">
        <f t="shared" si="48"/>
        <v>1176.0435370430484</v>
      </c>
      <c r="J159" s="202">
        <f t="shared" si="51"/>
        <v>191695.09653801689</v>
      </c>
      <c r="K159" s="209">
        <f t="shared" si="45"/>
        <v>191931.51995805657</v>
      </c>
      <c r="L159" s="208">
        <f t="shared" si="58"/>
        <v>-236.42342003967497</v>
      </c>
      <c r="M159" s="205">
        <f t="shared" si="52"/>
        <v>-7.3600392375252452</v>
      </c>
      <c r="N159" s="206">
        <f t="shared" si="53"/>
        <v>-243.78345927720022</v>
      </c>
      <c r="O159" s="205">
        <f t="shared" si="54"/>
        <v>0</v>
      </c>
      <c r="P159" s="205">
        <f t="shared" si="55"/>
        <v>0</v>
      </c>
      <c r="Q159" s="205">
        <v>0</v>
      </c>
      <c r="R159" s="206">
        <f t="shared" si="56"/>
        <v>-243.78345927720022</v>
      </c>
      <c r="S159" s="52"/>
    </row>
    <row r="160" spans="1:19" x14ac:dyDescent="0.2">
      <c r="A160" s="160">
        <v>9</v>
      </c>
      <c r="B160" s="197">
        <f t="shared" si="49"/>
        <v>44440</v>
      </c>
      <c r="C160" s="220">
        <f t="shared" si="57"/>
        <v>44474</v>
      </c>
      <c r="D160" s="220">
        <f t="shared" si="57"/>
        <v>44494</v>
      </c>
      <c r="E160" s="228" t="s">
        <v>56</v>
      </c>
      <c r="F160" s="125">
        <v>9</v>
      </c>
      <c r="G160" s="200">
        <v>153</v>
      </c>
      <c r="H160" s="201">
        <f t="shared" si="50"/>
        <v>1177.4939874727397</v>
      </c>
      <c r="I160" s="201">
        <f t="shared" si="48"/>
        <v>1176.0435370430484</v>
      </c>
      <c r="J160" s="202">
        <f t="shared" si="51"/>
        <v>179934.66116758643</v>
      </c>
      <c r="K160" s="209">
        <f t="shared" si="45"/>
        <v>180156.58008332917</v>
      </c>
      <c r="L160" s="208">
        <f t="shared" si="58"/>
        <v>-221.91891574274632</v>
      </c>
      <c r="M160" s="205">
        <f t="shared" si="52"/>
        <v>-6.9085030879838198</v>
      </c>
      <c r="N160" s="206">
        <f t="shared" si="53"/>
        <v>-228.82741883073015</v>
      </c>
      <c r="O160" s="205">
        <f t="shared" si="54"/>
        <v>0</v>
      </c>
      <c r="P160" s="205">
        <f t="shared" si="55"/>
        <v>0</v>
      </c>
      <c r="Q160" s="205">
        <v>0</v>
      </c>
      <c r="R160" s="206">
        <f t="shared" si="56"/>
        <v>-228.82741883073015</v>
      </c>
    </row>
    <row r="161" spans="1:19" x14ac:dyDescent="0.2">
      <c r="A161" s="125">
        <v>10</v>
      </c>
      <c r="B161" s="197">
        <f t="shared" si="49"/>
        <v>44470</v>
      </c>
      <c r="C161" s="220">
        <f t="shared" si="57"/>
        <v>44503</v>
      </c>
      <c r="D161" s="220">
        <f t="shared" si="57"/>
        <v>44524</v>
      </c>
      <c r="E161" s="228" t="s">
        <v>56</v>
      </c>
      <c r="F161" s="125">
        <v>9</v>
      </c>
      <c r="G161" s="200">
        <v>117</v>
      </c>
      <c r="H161" s="201">
        <f t="shared" si="50"/>
        <v>1177.4939874727397</v>
      </c>
      <c r="I161" s="201">
        <f t="shared" si="48"/>
        <v>1176.0435370430484</v>
      </c>
      <c r="J161" s="202">
        <f t="shared" si="51"/>
        <v>137597.09383403667</v>
      </c>
      <c r="K161" s="209">
        <f t="shared" si="45"/>
        <v>137766.79653431056</v>
      </c>
      <c r="L161" s="208">
        <f t="shared" si="58"/>
        <v>-169.70270027389051</v>
      </c>
      <c r="M161" s="205">
        <f t="shared" si="52"/>
        <v>-5.2829729496346856</v>
      </c>
      <c r="N161" s="206">
        <f t="shared" si="53"/>
        <v>-174.9856732235252</v>
      </c>
      <c r="O161" s="205">
        <f t="shared" si="54"/>
        <v>0</v>
      </c>
      <c r="P161" s="205">
        <f t="shared" si="55"/>
        <v>0</v>
      </c>
      <c r="Q161" s="205">
        <v>0</v>
      </c>
      <c r="R161" s="206">
        <f t="shared" si="56"/>
        <v>-174.9856732235252</v>
      </c>
    </row>
    <row r="162" spans="1:19" x14ac:dyDescent="0.2">
      <c r="A162" s="160">
        <v>11</v>
      </c>
      <c r="B162" s="197">
        <f t="shared" si="49"/>
        <v>44501</v>
      </c>
      <c r="C162" s="220">
        <f t="shared" si="57"/>
        <v>44533</v>
      </c>
      <c r="D162" s="220">
        <f t="shared" si="57"/>
        <v>44557</v>
      </c>
      <c r="E162" s="228" t="s">
        <v>56</v>
      </c>
      <c r="F162" s="125">
        <v>9</v>
      </c>
      <c r="G162" s="200">
        <v>91</v>
      </c>
      <c r="H162" s="201">
        <f t="shared" si="50"/>
        <v>1177.4939874727397</v>
      </c>
      <c r="I162" s="201">
        <f t="shared" si="48"/>
        <v>1176.0435370430484</v>
      </c>
      <c r="J162" s="202">
        <f t="shared" si="51"/>
        <v>107019.96187091741</v>
      </c>
      <c r="K162" s="209">
        <f t="shared" si="45"/>
        <v>107151.95286001932</v>
      </c>
      <c r="L162" s="208">
        <f t="shared" si="58"/>
        <v>-131.99098910190514</v>
      </c>
      <c r="M162" s="205">
        <f t="shared" si="52"/>
        <v>-4.1089789608269776</v>
      </c>
      <c r="N162" s="206">
        <f t="shared" si="53"/>
        <v>-136.09996806273213</v>
      </c>
      <c r="O162" s="205">
        <f t="shared" si="54"/>
        <v>0</v>
      </c>
      <c r="P162" s="205">
        <f t="shared" si="55"/>
        <v>0</v>
      </c>
      <c r="Q162" s="205">
        <v>0</v>
      </c>
      <c r="R162" s="206">
        <f t="shared" si="56"/>
        <v>-136.09996806273213</v>
      </c>
    </row>
    <row r="163" spans="1:19" s="224" customFormat="1" x14ac:dyDescent="0.2">
      <c r="A163" s="160">
        <v>12</v>
      </c>
      <c r="B163" s="222">
        <f t="shared" si="49"/>
        <v>44531</v>
      </c>
      <c r="C163" s="220">
        <f t="shared" si="57"/>
        <v>44566</v>
      </c>
      <c r="D163" s="220">
        <f t="shared" si="57"/>
        <v>44585</v>
      </c>
      <c r="E163" s="229" t="s">
        <v>56</v>
      </c>
      <c r="F163" s="171">
        <v>9</v>
      </c>
      <c r="G163" s="200">
        <v>94</v>
      </c>
      <c r="H163" s="212">
        <f t="shared" si="50"/>
        <v>1177.4939874727397</v>
      </c>
      <c r="I163" s="212">
        <f t="shared" si="48"/>
        <v>1176.0435370430484</v>
      </c>
      <c r="J163" s="213">
        <f t="shared" si="51"/>
        <v>110548.09248204656</v>
      </c>
      <c r="K163" s="214">
        <f t="shared" si="45"/>
        <v>110684.43482243753</v>
      </c>
      <c r="L163" s="215">
        <f t="shared" si="58"/>
        <v>-136.34234039096918</v>
      </c>
      <c r="M163" s="205">
        <f t="shared" si="52"/>
        <v>-4.2444398056894057</v>
      </c>
      <c r="N163" s="206">
        <f t="shared" si="53"/>
        <v>-140.58678019665859</v>
      </c>
      <c r="O163" s="205">
        <f t="shared" si="54"/>
        <v>0</v>
      </c>
      <c r="P163" s="205">
        <f t="shared" si="55"/>
        <v>0</v>
      </c>
      <c r="Q163" s="205">
        <v>0</v>
      </c>
      <c r="R163" s="206">
        <f t="shared" si="56"/>
        <v>-140.58678019665859</v>
      </c>
    </row>
    <row r="164" spans="1:19" x14ac:dyDescent="0.2">
      <c r="A164" s="125">
        <v>1</v>
      </c>
      <c r="B164" s="197">
        <f t="shared" si="49"/>
        <v>44197</v>
      </c>
      <c r="C164" s="217">
        <f t="shared" si="57"/>
        <v>44230</v>
      </c>
      <c r="D164" s="217">
        <f t="shared" si="57"/>
        <v>44251</v>
      </c>
      <c r="E164" s="227" t="s">
        <v>57</v>
      </c>
      <c r="F164" s="125">
        <v>9</v>
      </c>
      <c r="G164" s="200">
        <v>11</v>
      </c>
      <c r="H164" s="201">
        <f t="shared" si="50"/>
        <v>1177.4939874727397</v>
      </c>
      <c r="I164" s="201">
        <f t="shared" si="48"/>
        <v>1176.0435370430484</v>
      </c>
      <c r="J164" s="202">
        <f t="shared" si="51"/>
        <v>12936.478907473533</v>
      </c>
      <c r="K164" s="203">
        <f t="shared" si="45"/>
        <v>12952.433862200138</v>
      </c>
      <c r="L164" s="204">
        <f t="shared" si="58"/>
        <v>-15.954954726605138</v>
      </c>
      <c r="M164" s="205">
        <f t="shared" si="52"/>
        <v>-0.49668976449556879</v>
      </c>
      <c r="N164" s="206">
        <f t="shared" si="53"/>
        <v>-16.451644491100705</v>
      </c>
      <c r="O164" s="205">
        <f t="shared" si="54"/>
        <v>0</v>
      </c>
      <c r="P164" s="205">
        <f t="shared" si="55"/>
        <v>0</v>
      </c>
      <c r="Q164" s="205">
        <v>0</v>
      </c>
      <c r="R164" s="206">
        <f t="shared" si="56"/>
        <v>-16.451644491100705</v>
      </c>
    </row>
    <row r="165" spans="1:19" x14ac:dyDescent="0.2">
      <c r="A165" s="160">
        <v>2</v>
      </c>
      <c r="B165" s="197">
        <f t="shared" si="49"/>
        <v>44228</v>
      </c>
      <c r="C165" s="220">
        <f t="shared" si="57"/>
        <v>44258</v>
      </c>
      <c r="D165" s="220">
        <f t="shared" si="57"/>
        <v>44279</v>
      </c>
      <c r="E165" s="228" t="s">
        <v>57</v>
      </c>
      <c r="F165" s="160">
        <v>9</v>
      </c>
      <c r="G165" s="200">
        <v>8</v>
      </c>
      <c r="H165" s="201">
        <f t="shared" si="50"/>
        <v>1177.4939874727397</v>
      </c>
      <c r="I165" s="201">
        <f t="shared" si="48"/>
        <v>1176.0435370430484</v>
      </c>
      <c r="J165" s="202">
        <f t="shared" si="51"/>
        <v>9408.3482963443876</v>
      </c>
      <c r="K165" s="203">
        <f t="shared" si="45"/>
        <v>9419.9518997819177</v>
      </c>
      <c r="L165" s="204">
        <f t="shared" si="58"/>
        <v>-11.603603437530182</v>
      </c>
      <c r="M165" s="205">
        <f t="shared" si="52"/>
        <v>-0.36122891963314085</v>
      </c>
      <c r="N165" s="206">
        <f t="shared" si="53"/>
        <v>-11.964832357163324</v>
      </c>
      <c r="O165" s="205">
        <f t="shared" si="54"/>
        <v>0</v>
      </c>
      <c r="P165" s="205">
        <f t="shared" si="55"/>
        <v>0</v>
      </c>
      <c r="Q165" s="205">
        <v>0</v>
      </c>
      <c r="R165" s="206">
        <f t="shared" si="56"/>
        <v>-11.964832357163324</v>
      </c>
    </row>
    <row r="166" spans="1:19" x14ac:dyDescent="0.2">
      <c r="A166" s="160">
        <v>3</v>
      </c>
      <c r="B166" s="197">
        <f t="shared" si="49"/>
        <v>44256</v>
      </c>
      <c r="C166" s="220">
        <f t="shared" si="57"/>
        <v>44291</v>
      </c>
      <c r="D166" s="220">
        <f t="shared" si="57"/>
        <v>44312</v>
      </c>
      <c r="E166" s="228" t="s">
        <v>57</v>
      </c>
      <c r="F166" s="160">
        <v>9</v>
      </c>
      <c r="G166" s="200">
        <v>7</v>
      </c>
      <c r="H166" s="201">
        <f t="shared" si="50"/>
        <v>1177.4939874727397</v>
      </c>
      <c r="I166" s="201">
        <f t="shared" si="48"/>
        <v>1176.0435370430484</v>
      </c>
      <c r="J166" s="202">
        <f t="shared" si="51"/>
        <v>8232.3047593013398</v>
      </c>
      <c r="K166" s="203">
        <f t="shared" si="45"/>
        <v>8242.4579123091789</v>
      </c>
      <c r="L166" s="204">
        <f>+J166-K166</f>
        <v>-10.153153007839137</v>
      </c>
      <c r="M166" s="205">
        <f t="shared" si="52"/>
        <v>-0.3160753046789983</v>
      </c>
      <c r="N166" s="206">
        <f t="shared" si="53"/>
        <v>-10.469228312518135</v>
      </c>
      <c r="O166" s="205">
        <f t="shared" si="54"/>
        <v>0</v>
      </c>
      <c r="P166" s="205">
        <f t="shared" si="55"/>
        <v>0</v>
      </c>
      <c r="Q166" s="205">
        <v>0</v>
      </c>
      <c r="R166" s="206">
        <f t="shared" si="56"/>
        <v>-10.469228312518135</v>
      </c>
    </row>
    <row r="167" spans="1:19" x14ac:dyDescent="0.2">
      <c r="A167" s="125">
        <v>4</v>
      </c>
      <c r="B167" s="197">
        <f t="shared" si="49"/>
        <v>44287</v>
      </c>
      <c r="C167" s="220">
        <f t="shared" si="57"/>
        <v>44321</v>
      </c>
      <c r="D167" s="220">
        <f t="shared" si="57"/>
        <v>44340</v>
      </c>
      <c r="E167" s="228" t="s">
        <v>57</v>
      </c>
      <c r="F167" s="160">
        <v>9</v>
      </c>
      <c r="G167" s="200">
        <v>12</v>
      </c>
      <c r="H167" s="201">
        <f t="shared" si="50"/>
        <v>1177.4939874727397</v>
      </c>
      <c r="I167" s="201">
        <f t="shared" si="48"/>
        <v>1176.0435370430484</v>
      </c>
      <c r="J167" s="202">
        <f t="shared" si="51"/>
        <v>14112.52244451658</v>
      </c>
      <c r="K167" s="203">
        <f t="shared" si="45"/>
        <v>14129.927849672877</v>
      </c>
      <c r="L167" s="204">
        <f t="shared" ref="L167:L177" si="59">+J167-K167</f>
        <v>-17.405405156296183</v>
      </c>
      <c r="M167" s="205">
        <f t="shared" si="52"/>
        <v>-0.54184337944971139</v>
      </c>
      <c r="N167" s="206">
        <f t="shared" si="53"/>
        <v>-17.947248535745896</v>
      </c>
      <c r="O167" s="205">
        <f t="shared" si="54"/>
        <v>0</v>
      </c>
      <c r="P167" s="205">
        <f t="shared" si="55"/>
        <v>0</v>
      </c>
      <c r="Q167" s="205">
        <v>0</v>
      </c>
      <c r="R167" s="206">
        <f t="shared" si="56"/>
        <v>-17.947248535745896</v>
      </c>
    </row>
    <row r="168" spans="1:19" x14ac:dyDescent="0.2">
      <c r="A168" s="160">
        <v>5</v>
      </c>
      <c r="B168" s="197">
        <f t="shared" si="49"/>
        <v>44317</v>
      </c>
      <c r="C168" s="220">
        <f t="shared" si="57"/>
        <v>44350</v>
      </c>
      <c r="D168" s="220">
        <f t="shared" si="57"/>
        <v>44371</v>
      </c>
      <c r="E168" s="228" t="s">
        <v>57</v>
      </c>
      <c r="F168" s="160">
        <v>9</v>
      </c>
      <c r="G168" s="200">
        <v>11</v>
      </c>
      <c r="H168" s="201">
        <f t="shared" si="50"/>
        <v>1177.4939874727397</v>
      </c>
      <c r="I168" s="201">
        <f t="shared" si="48"/>
        <v>1176.0435370430484</v>
      </c>
      <c r="J168" s="202">
        <f t="shared" si="51"/>
        <v>12936.478907473533</v>
      </c>
      <c r="K168" s="203">
        <f t="shared" si="45"/>
        <v>12952.433862200138</v>
      </c>
      <c r="L168" s="204">
        <f t="shared" si="59"/>
        <v>-15.954954726605138</v>
      </c>
      <c r="M168" s="205">
        <f t="shared" si="52"/>
        <v>-0.49668976449556879</v>
      </c>
      <c r="N168" s="206">
        <f t="shared" si="53"/>
        <v>-16.451644491100705</v>
      </c>
      <c r="O168" s="205">
        <f t="shared" si="54"/>
        <v>0</v>
      </c>
      <c r="P168" s="205">
        <f t="shared" si="55"/>
        <v>0</v>
      </c>
      <c r="Q168" s="205">
        <v>0</v>
      </c>
      <c r="R168" s="206">
        <f t="shared" si="56"/>
        <v>-16.451644491100705</v>
      </c>
    </row>
    <row r="169" spans="1:19" x14ac:dyDescent="0.2">
      <c r="A169" s="160">
        <v>6</v>
      </c>
      <c r="B169" s="197">
        <f t="shared" si="49"/>
        <v>44348</v>
      </c>
      <c r="C169" s="220">
        <f t="shared" si="57"/>
        <v>44383</v>
      </c>
      <c r="D169" s="220">
        <f t="shared" si="57"/>
        <v>44401</v>
      </c>
      <c r="E169" s="228" t="s">
        <v>57</v>
      </c>
      <c r="F169" s="160">
        <v>9</v>
      </c>
      <c r="G169" s="200">
        <v>13</v>
      </c>
      <c r="H169" s="201">
        <f t="shared" si="50"/>
        <v>1177.4939874727397</v>
      </c>
      <c r="I169" s="201">
        <f t="shared" si="48"/>
        <v>1176.0435370430484</v>
      </c>
      <c r="J169" s="202">
        <f t="shared" si="51"/>
        <v>15288.56598155963</v>
      </c>
      <c r="K169" s="203">
        <f t="shared" si="45"/>
        <v>15307.421837145615</v>
      </c>
      <c r="L169" s="208">
        <f t="shared" si="59"/>
        <v>-18.85585558598541</v>
      </c>
      <c r="M169" s="205">
        <f t="shared" si="52"/>
        <v>-0.586996994403854</v>
      </c>
      <c r="N169" s="206">
        <f t="shared" si="53"/>
        <v>-19.442852580389264</v>
      </c>
      <c r="O169" s="205">
        <f t="shared" si="54"/>
        <v>0</v>
      </c>
      <c r="P169" s="205">
        <f t="shared" si="55"/>
        <v>0</v>
      </c>
      <c r="Q169" s="205">
        <v>0</v>
      </c>
      <c r="R169" s="206">
        <f t="shared" si="56"/>
        <v>-19.442852580389264</v>
      </c>
    </row>
    <row r="170" spans="1:19" x14ac:dyDescent="0.2">
      <c r="A170" s="125">
        <v>7</v>
      </c>
      <c r="B170" s="197">
        <f t="shared" si="49"/>
        <v>44378</v>
      </c>
      <c r="C170" s="220">
        <f t="shared" si="57"/>
        <v>44412</v>
      </c>
      <c r="D170" s="220">
        <f t="shared" si="57"/>
        <v>44432</v>
      </c>
      <c r="E170" s="228" t="s">
        <v>57</v>
      </c>
      <c r="F170" s="160">
        <v>9</v>
      </c>
      <c r="G170" s="200">
        <v>13</v>
      </c>
      <c r="H170" s="201">
        <f t="shared" si="50"/>
        <v>1177.4939874727397</v>
      </c>
      <c r="I170" s="201">
        <f t="shared" si="48"/>
        <v>1176.0435370430484</v>
      </c>
      <c r="J170" s="202">
        <f t="shared" si="51"/>
        <v>15288.56598155963</v>
      </c>
      <c r="K170" s="209">
        <f t="shared" si="45"/>
        <v>15307.421837145615</v>
      </c>
      <c r="L170" s="208">
        <f t="shared" si="59"/>
        <v>-18.85585558598541</v>
      </c>
      <c r="M170" s="205">
        <f t="shared" si="52"/>
        <v>-0.586996994403854</v>
      </c>
      <c r="N170" s="206">
        <f t="shared" si="53"/>
        <v>-19.442852580389264</v>
      </c>
      <c r="O170" s="205">
        <f t="shared" si="54"/>
        <v>0</v>
      </c>
      <c r="P170" s="205">
        <f t="shared" si="55"/>
        <v>0</v>
      </c>
      <c r="Q170" s="205">
        <v>0</v>
      </c>
      <c r="R170" s="206">
        <f t="shared" si="56"/>
        <v>-19.442852580389264</v>
      </c>
    </row>
    <row r="171" spans="1:19" x14ac:dyDescent="0.2">
      <c r="A171" s="160">
        <v>8</v>
      </c>
      <c r="B171" s="197">
        <f t="shared" si="49"/>
        <v>44409</v>
      </c>
      <c r="C171" s="220">
        <f t="shared" si="57"/>
        <v>44442</v>
      </c>
      <c r="D171" s="220">
        <f t="shared" si="57"/>
        <v>44463</v>
      </c>
      <c r="E171" s="228" t="s">
        <v>57</v>
      </c>
      <c r="F171" s="125">
        <v>9</v>
      </c>
      <c r="G171" s="200">
        <v>12</v>
      </c>
      <c r="H171" s="201">
        <f t="shared" si="50"/>
        <v>1177.4939874727397</v>
      </c>
      <c r="I171" s="201">
        <f t="shared" si="48"/>
        <v>1176.0435370430484</v>
      </c>
      <c r="J171" s="202">
        <f t="shared" si="51"/>
        <v>14112.52244451658</v>
      </c>
      <c r="K171" s="209">
        <f t="shared" si="45"/>
        <v>14129.927849672877</v>
      </c>
      <c r="L171" s="208">
        <f t="shared" si="59"/>
        <v>-17.405405156296183</v>
      </c>
      <c r="M171" s="205">
        <f t="shared" si="52"/>
        <v>-0.54184337944971139</v>
      </c>
      <c r="N171" s="206">
        <f t="shared" si="53"/>
        <v>-17.947248535745896</v>
      </c>
      <c r="O171" s="205">
        <f t="shared" si="54"/>
        <v>0</v>
      </c>
      <c r="P171" s="205">
        <f t="shared" si="55"/>
        <v>0</v>
      </c>
      <c r="Q171" s="205">
        <v>0</v>
      </c>
      <c r="R171" s="206">
        <f t="shared" si="56"/>
        <v>-17.947248535745896</v>
      </c>
      <c r="S171" s="52"/>
    </row>
    <row r="172" spans="1:19" x14ac:dyDescent="0.2">
      <c r="A172" s="160">
        <v>9</v>
      </c>
      <c r="B172" s="197">
        <f t="shared" si="49"/>
        <v>44440</v>
      </c>
      <c r="C172" s="220">
        <f t="shared" ref="C172:D175" si="60">+C160</f>
        <v>44474</v>
      </c>
      <c r="D172" s="220">
        <f t="shared" si="60"/>
        <v>44494</v>
      </c>
      <c r="E172" s="228" t="s">
        <v>57</v>
      </c>
      <c r="F172" s="125">
        <v>9</v>
      </c>
      <c r="G172" s="200">
        <v>13</v>
      </c>
      <c r="H172" s="201">
        <f t="shared" si="50"/>
        <v>1177.4939874727397</v>
      </c>
      <c r="I172" s="201">
        <f t="shared" si="48"/>
        <v>1176.0435370430484</v>
      </c>
      <c r="J172" s="202">
        <f t="shared" si="51"/>
        <v>15288.56598155963</v>
      </c>
      <c r="K172" s="209">
        <f t="shared" si="45"/>
        <v>15307.421837145615</v>
      </c>
      <c r="L172" s="208">
        <f t="shared" si="59"/>
        <v>-18.85585558598541</v>
      </c>
      <c r="M172" s="205">
        <f t="shared" si="52"/>
        <v>-0.586996994403854</v>
      </c>
      <c r="N172" s="206">
        <f t="shared" si="53"/>
        <v>-19.442852580389264</v>
      </c>
      <c r="O172" s="205">
        <f t="shared" si="54"/>
        <v>0</v>
      </c>
      <c r="P172" s="205">
        <f t="shared" si="55"/>
        <v>0</v>
      </c>
      <c r="Q172" s="205">
        <v>0</v>
      </c>
      <c r="R172" s="206">
        <f t="shared" si="56"/>
        <v>-19.442852580389264</v>
      </c>
    </row>
    <row r="173" spans="1:19" x14ac:dyDescent="0.2">
      <c r="A173" s="125">
        <v>10</v>
      </c>
      <c r="B173" s="197">
        <f t="shared" si="49"/>
        <v>44470</v>
      </c>
      <c r="C173" s="220">
        <f t="shared" si="60"/>
        <v>44503</v>
      </c>
      <c r="D173" s="220">
        <f t="shared" si="60"/>
        <v>44524</v>
      </c>
      <c r="E173" s="228" t="s">
        <v>57</v>
      </c>
      <c r="F173" s="125">
        <v>9</v>
      </c>
      <c r="G173" s="200">
        <v>8</v>
      </c>
      <c r="H173" s="201">
        <f t="shared" si="50"/>
        <v>1177.4939874727397</v>
      </c>
      <c r="I173" s="201">
        <f t="shared" si="48"/>
        <v>1176.0435370430484</v>
      </c>
      <c r="J173" s="202">
        <f t="shared" si="51"/>
        <v>9408.3482963443876</v>
      </c>
      <c r="K173" s="209">
        <f t="shared" si="45"/>
        <v>9419.9518997819177</v>
      </c>
      <c r="L173" s="208">
        <f t="shared" si="59"/>
        <v>-11.603603437530182</v>
      </c>
      <c r="M173" s="205">
        <f t="shared" si="52"/>
        <v>-0.36122891963314085</v>
      </c>
      <c r="N173" s="206">
        <f t="shared" si="53"/>
        <v>-11.964832357163324</v>
      </c>
      <c r="O173" s="205">
        <f t="shared" si="54"/>
        <v>0</v>
      </c>
      <c r="P173" s="205">
        <f t="shared" si="55"/>
        <v>0</v>
      </c>
      <c r="Q173" s="205">
        <v>0</v>
      </c>
      <c r="R173" s="206">
        <f t="shared" si="56"/>
        <v>-11.964832357163324</v>
      </c>
    </row>
    <row r="174" spans="1:19" x14ac:dyDescent="0.2">
      <c r="A174" s="160">
        <v>11</v>
      </c>
      <c r="B174" s="197">
        <f t="shared" si="49"/>
        <v>44501</v>
      </c>
      <c r="C174" s="220">
        <f t="shared" si="60"/>
        <v>44533</v>
      </c>
      <c r="D174" s="220">
        <f t="shared" si="60"/>
        <v>44557</v>
      </c>
      <c r="E174" s="228" t="s">
        <v>57</v>
      </c>
      <c r="F174" s="125">
        <v>9</v>
      </c>
      <c r="G174" s="200">
        <v>8</v>
      </c>
      <c r="H174" s="201">
        <f t="shared" si="50"/>
        <v>1177.4939874727397</v>
      </c>
      <c r="I174" s="201">
        <f t="shared" si="48"/>
        <v>1176.0435370430484</v>
      </c>
      <c r="J174" s="202">
        <f t="shared" si="51"/>
        <v>9408.3482963443876</v>
      </c>
      <c r="K174" s="209">
        <f t="shared" si="45"/>
        <v>9419.9518997819177</v>
      </c>
      <c r="L174" s="208">
        <f t="shared" si="59"/>
        <v>-11.603603437530182</v>
      </c>
      <c r="M174" s="205">
        <f t="shared" si="52"/>
        <v>-0.36122891963314085</v>
      </c>
      <c r="N174" s="206">
        <f t="shared" si="53"/>
        <v>-11.964832357163324</v>
      </c>
      <c r="O174" s="205">
        <f t="shared" si="54"/>
        <v>0</v>
      </c>
      <c r="P174" s="205">
        <f t="shared" si="55"/>
        <v>0</v>
      </c>
      <c r="Q174" s="205">
        <v>0</v>
      </c>
      <c r="R174" s="206">
        <f t="shared" si="56"/>
        <v>-11.964832357163324</v>
      </c>
    </row>
    <row r="175" spans="1:19" s="224" customFormat="1" x14ac:dyDescent="0.2">
      <c r="A175" s="160">
        <v>12</v>
      </c>
      <c r="B175" s="222">
        <f t="shared" si="49"/>
        <v>44531</v>
      </c>
      <c r="C175" s="220">
        <f t="shared" si="60"/>
        <v>44566</v>
      </c>
      <c r="D175" s="220">
        <f t="shared" si="60"/>
        <v>44585</v>
      </c>
      <c r="E175" s="229" t="s">
        <v>57</v>
      </c>
      <c r="F175" s="171">
        <v>9</v>
      </c>
      <c r="G175" s="200">
        <v>11</v>
      </c>
      <c r="H175" s="212">
        <f t="shared" si="50"/>
        <v>1177.4939874727397</v>
      </c>
      <c r="I175" s="212">
        <f t="shared" si="48"/>
        <v>1176.0435370430484</v>
      </c>
      <c r="J175" s="213">
        <f t="shared" si="51"/>
        <v>12936.478907473533</v>
      </c>
      <c r="K175" s="214">
        <f t="shared" si="45"/>
        <v>12952.433862200138</v>
      </c>
      <c r="L175" s="215">
        <f t="shared" si="59"/>
        <v>-15.954954726605138</v>
      </c>
      <c r="M175" s="205">
        <f t="shared" si="52"/>
        <v>-0.49668976449556879</v>
      </c>
      <c r="N175" s="206">
        <f t="shared" si="53"/>
        <v>-16.451644491100705</v>
      </c>
      <c r="O175" s="205">
        <f t="shared" si="54"/>
        <v>0</v>
      </c>
      <c r="P175" s="205">
        <f t="shared" si="55"/>
        <v>0</v>
      </c>
      <c r="Q175" s="205">
        <v>0</v>
      </c>
      <c r="R175" s="206">
        <f t="shared" si="56"/>
        <v>-16.451644491100705</v>
      </c>
    </row>
    <row r="176" spans="1:19" x14ac:dyDescent="0.2">
      <c r="A176" s="125">
        <v>1</v>
      </c>
      <c r="B176" s="197">
        <f t="shared" si="49"/>
        <v>44197</v>
      </c>
      <c r="C176" s="217">
        <f t="shared" ref="C176:D187" si="61">+C152</f>
        <v>44230</v>
      </c>
      <c r="D176" s="217">
        <f t="shared" si="61"/>
        <v>44251</v>
      </c>
      <c r="E176" s="227" t="s">
        <v>58</v>
      </c>
      <c r="F176" s="160">
        <v>9</v>
      </c>
      <c r="G176" s="200">
        <v>20</v>
      </c>
      <c r="H176" s="201">
        <f t="shared" si="50"/>
        <v>1177.4939874727397</v>
      </c>
      <c r="I176" s="201">
        <f t="shared" si="48"/>
        <v>1176.0435370430484</v>
      </c>
      <c r="J176" s="202">
        <f t="shared" si="51"/>
        <v>23520.87074086097</v>
      </c>
      <c r="K176" s="203">
        <f t="shared" si="45"/>
        <v>23549.879749454794</v>
      </c>
      <c r="L176" s="204">
        <f t="shared" si="59"/>
        <v>-29.009008593824547</v>
      </c>
      <c r="M176" s="205">
        <f t="shared" si="52"/>
        <v>-0.90307229908285225</v>
      </c>
      <c r="N176" s="206">
        <f t="shared" si="53"/>
        <v>-29.912080892907397</v>
      </c>
      <c r="O176" s="205">
        <f t="shared" si="54"/>
        <v>0</v>
      </c>
      <c r="P176" s="205">
        <f t="shared" si="55"/>
        <v>0</v>
      </c>
      <c r="Q176" s="205">
        <v>0</v>
      </c>
      <c r="R176" s="206">
        <f t="shared" si="56"/>
        <v>-29.912080892907397</v>
      </c>
    </row>
    <row r="177" spans="1:18" x14ac:dyDescent="0.2">
      <c r="A177" s="160">
        <v>2</v>
      </c>
      <c r="B177" s="197">
        <f t="shared" si="49"/>
        <v>44228</v>
      </c>
      <c r="C177" s="220">
        <f t="shared" si="61"/>
        <v>44258</v>
      </c>
      <c r="D177" s="220">
        <f t="shared" si="61"/>
        <v>44279</v>
      </c>
      <c r="E177" s="54" t="s">
        <v>58</v>
      </c>
      <c r="F177" s="160">
        <v>9</v>
      </c>
      <c r="G177" s="200">
        <v>23</v>
      </c>
      <c r="H177" s="201">
        <f t="shared" si="50"/>
        <v>1177.4939874727397</v>
      </c>
      <c r="I177" s="201">
        <f t="shared" si="48"/>
        <v>1176.0435370430484</v>
      </c>
      <c r="J177" s="202">
        <f t="shared" si="51"/>
        <v>27049.001351990115</v>
      </c>
      <c r="K177" s="203">
        <f t="shared" si="45"/>
        <v>27082.361711873014</v>
      </c>
      <c r="L177" s="204">
        <f t="shared" si="59"/>
        <v>-33.360359882899502</v>
      </c>
      <c r="M177" s="205">
        <f t="shared" si="52"/>
        <v>-1.0385331439452801</v>
      </c>
      <c r="N177" s="206">
        <f t="shared" si="53"/>
        <v>-34.398893026844782</v>
      </c>
      <c r="O177" s="205">
        <f t="shared" si="54"/>
        <v>0</v>
      </c>
      <c r="P177" s="205">
        <f t="shared" si="55"/>
        <v>0</v>
      </c>
      <c r="Q177" s="205">
        <v>0</v>
      </c>
      <c r="R177" s="206">
        <f t="shared" si="56"/>
        <v>-34.398893026844782</v>
      </c>
    </row>
    <row r="178" spans="1:18" x14ac:dyDescent="0.2">
      <c r="A178" s="160">
        <v>3</v>
      </c>
      <c r="B178" s="197">
        <f t="shared" si="49"/>
        <v>44256</v>
      </c>
      <c r="C178" s="220">
        <f t="shared" si="61"/>
        <v>44291</v>
      </c>
      <c r="D178" s="220">
        <f t="shared" si="61"/>
        <v>44312</v>
      </c>
      <c r="E178" s="54" t="s">
        <v>58</v>
      </c>
      <c r="F178" s="160">
        <v>9</v>
      </c>
      <c r="G178" s="200">
        <v>16</v>
      </c>
      <c r="H178" s="201">
        <f t="shared" si="50"/>
        <v>1177.4939874727397</v>
      </c>
      <c r="I178" s="201">
        <f t="shared" si="48"/>
        <v>1176.0435370430484</v>
      </c>
      <c r="J178" s="202">
        <f t="shared" si="51"/>
        <v>18816.696592688775</v>
      </c>
      <c r="K178" s="203">
        <f t="shared" si="45"/>
        <v>18839.903799563835</v>
      </c>
      <c r="L178" s="204">
        <f>+J178-K178</f>
        <v>-23.207206875060365</v>
      </c>
      <c r="M178" s="205">
        <f t="shared" si="52"/>
        <v>-0.72245783926628171</v>
      </c>
      <c r="N178" s="206">
        <f t="shared" si="53"/>
        <v>-23.929664714326648</v>
      </c>
      <c r="O178" s="205">
        <f t="shared" si="54"/>
        <v>0</v>
      </c>
      <c r="P178" s="205">
        <f t="shared" si="55"/>
        <v>0</v>
      </c>
      <c r="Q178" s="205">
        <v>0</v>
      </c>
      <c r="R178" s="206">
        <f t="shared" si="56"/>
        <v>-23.929664714326648</v>
      </c>
    </row>
    <row r="179" spans="1:18" x14ac:dyDescent="0.2">
      <c r="A179" s="125">
        <v>4</v>
      </c>
      <c r="B179" s="197">
        <f t="shared" si="49"/>
        <v>44287</v>
      </c>
      <c r="C179" s="220">
        <f t="shared" si="61"/>
        <v>44321</v>
      </c>
      <c r="D179" s="220">
        <f t="shared" si="61"/>
        <v>44340</v>
      </c>
      <c r="E179" s="54" t="s">
        <v>58</v>
      </c>
      <c r="F179" s="160">
        <v>9</v>
      </c>
      <c r="G179" s="200">
        <v>20</v>
      </c>
      <c r="H179" s="201">
        <f t="shared" si="50"/>
        <v>1177.4939874727397</v>
      </c>
      <c r="I179" s="201">
        <f t="shared" si="48"/>
        <v>1176.0435370430484</v>
      </c>
      <c r="J179" s="202">
        <f t="shared" si="51"/>
        <v>23520.87074086097</v>
      </c>
      <c r="K179" s="203">
        <f t="shared" si="45"/>
        <v>23549.879749454794</v>
      </c>
      <c r="L179" s="204">
        <f t="shared" ref="L179:L189" si="62">+J179-K179</f>
        <v>-29.009008593824547</v>
      </c>
      <c r="M179" s="205">
        <f t="shared" si="52"/>
        <v>-0.90307229908285225</v>
      </c>
      <c r="N179" s="206">
        <f t="shared" si="53"/>
        <v>-29.912080892907397</v>
      </c>
      <c r="O179" s="205">
        <f t="shared" si="54"/>
        <v>0</v>
      </c>
      <c r="P179" s="205">
        <f t="shared" si="55"/>
        <v>0</v>
      </c>
      <c r="Q179" s="205">
        <v>0</v>
      </c>
      <c r="R179" s="206">
        <f t="shared" si="56"/>
        <v>-29.912080892907397</v>
      </c>
    </row>
    <row r="180" spans="1:18" x14ac:dyDescent="0.2">
      <c r="A180" s="160">
        <v>5</v>
      </c>
      <c r="B180" s="197">
        <f t="shared" si="49"/>
        <v>44317</v>
      </c>
      <c r="C180" s="220">
        <f t="shared" si="61"/>
        <v>44350</v>
      </c>
      <c r="D180" s="220">
        <f t="shared" si="61"/>
        <v>44371</v>
      </c>
      <c r="E180" s="54" t="s">
        <v>58</v>
      </c>
      <c r="F180" s="160">
        <v>9</v>
      </c>
      <c r="G180" s="200">
        <v>27</v>
      </c>
      <c r="H180" s="201">
        <f t="shared" si="50"/>
        <v>1177.4939874727397</v>
      </c>
      <c r="I180" s="201">
        <f t="shared" ref="I180:I211" si="63">$J$3</f>
        <v>1176.0435370430484</v>
      </c>
      <c r="J180" s="202">
        <f t="shared" si="51"/>
        <v>31753.17550016231</v>
      </c>
      <c r="K180" s="203">
        <f t="shared" si="45"/>
        <v>31792.337661763973</v>
      </c>
      <c r="L180" s="204">
        <f t="shared" si="62"/>
        <v>-39.162161601663684</v>
      </c>
      <c r="M180" s="205">
        <f t="shared" si="52"/>
        <v>-1.2191476037618505</v>
      </c>
      <c r="N180" s="206">
        <f t="shared" si="53"/>
        <v>-40.381309205425531</v>
      </c>
      <c r="O180" s="205">
        <f t="shared" si="54"/>
        <v>0</v>
      </c>
      <c r="P180" s="205">
        <f t="shared" si="55"/>
        <v>0</v>
      </c>
      <c r="Q180" s="205">
        <v>0</v>
      </c>
      <c r="R180" s="206">
        <f t="shared" si="56"/>
        <v>-40.381309205425531</v>
      </c>
    </row>
    <row r="181" spans="1:18" x14ac:dyDescent="0.2">
      <c r="A181" s="160">
        <v>6</v>
      </c>
      <c r="B181" s="197">
        <f t="shared" si="49"/>
        <v>44348</v>
      </c>
      <c r="C181" s="220">
        <f t="shared" si="61"/>
        <v>44383</v>
      </c>
      <c r="D181" s="220">
        <f t="shared" si="61"/>
        <v>44401</v>
      </c>
      <c r="E181" s="54" t="s">
        <v>58</v>
      </c>
      <c r="F181" s="160">
        <v>9</v>
      </c>
      <c r="G181" s="200">
        <v>32</v>
      </c>
      <c r="H181" s="201">
        <f t="shared" si="50"/>
        <v>1177.4939874727397</v>
      </c>
      <c r="I181" s="201">
        <f t="shared" si="63"/>
        <v>1176.0435370430484</v>
      </c>
      <c r="J181" s="202">
        <f t="shared" si="51"/>
        <v>37633.39318537755</v>
      </c>
      <c r="K181" s="203">
        <f t="shared" si="45"/>
        <v>37679.807599127671</v>
      </c>
      <c r="L181" s="208">
        <f t="shared" si="62"/>
        <v>-46.41441375012073</v>
      </c>
      <c r="M181" s="205">
        <f t="shared" si="52"/>
        <v>-1.4449156785325634</v>
      </c>
      <c r="N181" s="206">
        <f t="shared" si="53"/>
        <v>-47.859329428653297</v>
      </c>
      <c r="O181" s="205">
        <f t="shared" si="54"/>
        <v>0</v>
      </c>
      <c r="P181" s="205">
        <f t="shared" si="55"/>
        <v>0</v>
      </c>
      <c r="Q181" s="205">
        <v>0</v>
      </c>
      <c r="R181" s="206">
        <f t="shared" si="56"/>
        <v>-47.859329428653297</v>
      </c>
    </row>
    <row r="182" spans="1:18" x14ac:dyDescent="0.2">
      <c r="A182" s="125">
        <v>7</v>
      </c>
      <c r="B182" s="197">
        <f t="shared" si="49"/>
        <v>44378</v>
      </c>
      <c r="C182" s="220">
        <f t="shared" si="61"/>
        <v>44412</v>
      </c>
      <c r="D182" s="220">
        <f t="shared" si="61"/>
        <v>44432</v>
      </c>
      <c r="E182" s="54" t="s">
        <v>58</v>
      </c>
      <c r="F182" s="160">
        <v>9</v>
      </c>
      <c r="G182" s="200">
        <v>37</v>
      </c>
      <c r="H182" s="201">
        <f t="shared" si="50"/>
        <v>1177.4939874727397</v>
      </c>
      <c r="I182" s="201">
        <f t="shared" si="63"/>
        <v>1176.0435370430484</v>
      </c>
      <c r="J182" s="202">
        <f t="shared" si="51"/>
        <v>43513.610870592791</v>
      </c>
      <c r="K182" s="209">
        <f t="shared" si="45"/>
        <v>43567.277536491369</v>
      </c>
      <c r="L182" s="208">
        <f t="shared" si="62"/>
        <v>-53.666665898577776</v>
      </c>
      <c r="M182" s="205">
        <f t="shared" si="52"/>
        <v>-1.6706837533032768</v>
      </c>
      <c r="N182" s="206">
        <f t="shared" si="53"/>
        <v>-55.337349651881055</v>
      </c>
      <c r="O182" s="205">
        <f t="shared" si="54"/>
        <v>0</v>
      </c>
      <c r="P182" s="205">
        <f t="shared" si="55"/>
        <v>0</v>
      </c>
      <c r="Q182" s="205">
        <v>0</v>
      </c>
      <c r="R182" s="206">
        <f t="shared" si="56"/>
        <v>-55.337349651881055</v>
      </c>
    </row>
    <row r="183" spans="1:18" x14ac:dyDescent="0.2">
      <c r="A183" s="160">
        <v>8</v>
      </c>
      <c r="B183" s="197">
        <f t="shared" si="49"/>
        <v>44409</v>
      </c>
      <c r="C183" s="220">
        <f t="shared" si="61"/>
        <v>44442</v>
      </c>
      <c r="D183" s="220">
        <f t="shared" si="61"/>
        <v>44463</v>
      </c>
      <c r="E183" s="54" t="s">
        <v>58</v>
      </c>
      <c r="F183" s="160">
        <v>9</v>
      </c>
      <c r="G183" s="200">
        <v>33</v>
      </c>
      <c r="H183" s="201">
        <f t="shared" si="50"/>
        <v>1177.4939874727397</v>
      </c>
      <c r="I183" s="201">
        <f t="shared" si="63"/>
        <v>1176.0435370430484</v>
      </c>
      <c r="J183" s="202">
        <f t="shared" si="51"/>
        <v>38809.4367224206</v>
      </c>
      <c r="K183" s="209">
        <f t="shared" si="45"/>
        <v>38857.301586600413</v>
      </c>
      <c r="L183" s="208">
        <f t="shared" si="62"/>
        <v>-47.864864179813594</v>
      </c>
      <c r="M183" s="205">
        <f t="shared" si="52"/>
        <v>-1.4900692934867061</v>
      </c>
      <c r="N183" s="206">
        <f t="shared" si="53"/>
        <v>-49.354933473300299</v>
      </c>
      <c r="O183" s="205">
        <f t="shared" si="54"/>
        <v>0</v>
      </c>
      <c r="P183" s="205">
        <f t="shared" si="55"/>
        <v>0</v>
      </c>
      <c r="Q183" s="205">
        <v>0</v>
      </c>
      <c r="R183" s="206">
        <f t="shared" si="56"/>
        <v>-49.354933473300299</v>
      </c>
    </row>
    <row r="184" spans="1:18" x14ac:dyDescent="0.2">
      <c r="A184" s="160">
        <v>9</v>
      </c>
      <c r="B184" s="197">
        <f t="shared" si="49"/>
        <v>44440</v>
      </c>
      <c r="C184" s="220">
        <f t="shared" si="61"/>
        <v>44474</v>
      </c>
      <c r="D184" s="220">
        <f t="shared" si="61"/>
        <v>44494</v>
      </c>
      <c r="E184" s="54" t="s">
        <v>58</v>
      </c>
      <c r="F184" s="160">
        <v>9</v>
      </c>
      <c r="G184" s="200">
        <v>37</v>
      </c>
      <c r="H184" s="201">
        <f t="shared" si="50"/>
        <v>1177.4939874727397</v>
      </c>
      <c r="I184" s="201">
        <f t="shared" si="63"/>
        <v>1176.0435370430484</v>
      </c>
      <c r="J184" s="202">
        <f t="shared" si="51"/>
        <v>43513.610870592791</v>
      </c>
      <c r="K184" s="209">
        <f t="shared" si="45"/>
        <v>43567.277536491369</v>
      </c>
      <c r="L184" s="208">
        <f t="shared" si="62"/>
        <v>-53.666665898577776</v>
      </c>
      <c r="M184" s="205">
        <f t="shared" si="52"/>
        <v>-1.6706837533032768</v>
      </c>
      <c r="N184" s="206">
        <f t="shared" si="53"/>
        <v>-55.337349651881055</v>
      </c>
      <c r="O184" s="205">
        <f t="shared" si="54"/>
        <v>0</v>
      </c>
      <c r="P184" s="205">
        <f t="shared" si="55"/>
        <v>0</v>
      </c>
      <c r="Q184" s="205">
        <v>0</v>
      </c>
      <c r="R184" s="206">
        <f t="shared" si="56"/>
        <v>-55.337349651881055</v>
      </c>
    </row>
    <row r="185" spans="1:18" x14ac:dyDescent="0.2">
      <c r="A185" s="125">
        <v>10</v>
      </c>
      <c r="B185" s="197">
        <f t="shared" si="49"/>
        <v>44470</v>
      </c>
      <c r="C185" s="220">
        <f t="shared" si="61"/>
        <v>44503</v>
      </c>
      <c r="D185" s="220">
        <f t="shared" si="61"/>
        <v>44524</v>
      </c>
      <c r="E185" s="54" t="s">
        <v>58</v>
      </c>
      <c r="F185" s="160">
        <v>9</v>
      </c>
      <c r="G185" s="200">
        <v>27</v>
      </c>
      <c r="H185" s="201">
        <f t="shared" si="50"/>
        <v>1177.4939874727397</v>
      </c>
      <c r="I185" s="201">
        <f t="shared" si="63"/>
        <v>1176.0435370430484</v>
      </c>
      <c r="J185" s="202">
        <f t="shared" si="51"/>
        <v>31753.17550016231</v>
      </c>
      <c r="K185" s="209">
        <f t="shared" si="45"/>
        <v>31792.337661763973</v>
      </c>
      <c r="L185" s="208">
        <f t="shared" si="62"/>
        <v>-39.162161601663684</v>
      </c>
      <c r="M185" s="205">
        <f t="shared" si="52"/>
        <v>-1.2191476037618505</v>
      </c>
      <c r="N185" s="206">
        <f t="shared" si="53"/>
        <v>-40.381309205425531</v>
      </c>
      <c r="O185" s="205">
        <f t="shared" si="54"/>
        <v>0</v>
      </c>
      <c r="P185" s="205">
        <f t="shared" si="55"/>
        <v>0</v>
      </c>
      <c r="Q185" s="205">
        <v>0</v>
      </c>
      <c r="R185" s="206">
        <f t="shared" si="56"/>
        <v>-40.381309205425531</v>
      </c>
    </row>
    <row r="186" spans="1:18" x14ac:dyDescent="0.2">
      <c r="A186" s="160">
        <v>11</v>
      </c>
      <c r="B186" s="197">
        <f t="shared" si="49"/>
        <v>44501</v>
      </c>
      <c r="C186" s="220">
        <f t="shared" si="61"/>
        <v>44533</v>
      </c>
      <c r="D186" s="220">
        <f t="shared" si="61"/>
        <v>44557</v>
      </c>
      <c r="E186" s="54" t="s">
        <v>58</v>
      </c>
      <c r="F186" s="160">
        <v>9</v>
      </c>
      <c r="G186" s="200">
        <v>16</v>
      </c>
      <c r="H186" s="201">
        <f t="shared" si="50"/>
        <v>1177.4939874727397</v>
      </c>
      <c r="I186" s="201">
        <f t="shared" si="63"/>
        <v>1176.0435370430484</v>
      </c>
      <c r="J186" s="202">
        <f t="shared" si="51"/>
        <v>18816.696592688775</v>
      </c>
      <c r="K186" s="209">
        <f t="shared" si="45"/>
        <v>18839.903799563835</v>
      </c>
      <c r="L186" s="208">
        <f t="shared" si="62"/>
        <v>-23.207206875060365</v>
      </c>
      <c r="M186" s="205">
        <f t="shared" si="52"/>
        <v>-0.72245783926628171</v>
      </c>
      <c r="N186" s="206">
        <f t="shared" si="53"/>
        <v>-23.929664714326648</v>
      </c>
      <c r="O186" s="205">
        <f t="shared" si="54"/>
        <v>0</v>
      </c>
      <c r="P186" s="205">
        <f t="shared" si="55"/>
        <v>0</v>
      </c>
      <c r="Q186" s="205">
        <v>0</v>
      </c>
      <c r="R186" s="206">
        <f t="shared" si="56"/>
        <v>-23.929664714326648</v>
      </c>
    </row>
    <row r="187" spans="1:18" s="224" customFormat="1" x14ac:dyDescent="0.2">
      <c r="A187" s="160">
        <v>12</v>
      </c>
      <c r="B187" s="222">
        <f t="shared" si="49"/>
        <v>44531</v>
      </c>
      <c r="C187" s="220">
        <f t="shared" si="61"/>
        <v>44566</v>
      </c>
      <c r="D187" s="220">
        <f t="shared" si="61"/>
        <v>44585</v>
      </c>
      <c r="E187" s="223" t="s">
        <v>58</v>
      </c>
      <c r="F187" s="171">
        <v>9</v>
      </c>
      <c r="G187" s="200">
        <v>19</v>
      </c>
      <c r="H187" s="212">
        <f t="shared" si="50"/>
        <v>1177.4939874727397</v>
      </c>
      <c r="I187" s="212">
        <f t="shared" si="63"/>
        <v>1176.0435370430484</v>
      </c>
      <c r="J187" s="213">
        <f t="shared" si="51"/>
        <v>22344.82720381792</v>
      </c>
      <c r="K187" s="214">
        <f t="shared" si="45"/>
        <v>22372.385761982056</v>
      </c>
      <c r="L187" s="215">
        <f t="shared" si="62"/>
        <v>-27.55855816413532</v>
      </c>
      <c r="M187" s="205">
        <f t="shared" si="52"/>
        <v>-0.85791868412870964</v>
      </c>
      <c r="N187" s="206">
        <f t="shared" si="53"/>
        <v>-28.416476848264029</v>
      </c>
      <c r="O187" s="205">
        <f t="shared" si="54"/>
        <v>0</v>
      </c>
      <c r="P187" s="205">
        <f t="shared" si="55"/>
        <v>0</v>
      </c>
      <c r="Q187" s="205">
        <v>0</v>
      </c>
      <c r="R187" s="206">
        <f t="shared" si="56"/>
        <v>-28.416476848264029</v>
      </c>
    </row>
    <row r="188" spans="1:18" x14ac:dyDescent="0.2">
      <c r="A188" s="125">
        <v>1</v>
      </c>
      <c r="B188" s="197">
        <f t="shared" si="49"/>
        <v>44197</v>
      </c>
      <c r="C188" s="217">
        <f t="shared" ref="C188:D211" si="64">+C176</f>
        <v>44230</v>
      </c>
      <c r="D188" s="217">
        <f t="shared" si="64"/>
        <v>44251</v>
      </c>
      <c r="E188" s="199" t="s">
        <v>59</v>
      </c>
      <c r="F188" s="125">
        <v>9</v>
      </c>
      <c r="G188" s="200">
        <v>35</v>
      </c>
      <c r="H188" s="201">
        <f t="shared" si="50"/>
        <v>1177.4939874727397</v>
      </c>
      <c r="I188" s="201">
        <f t="shared" si="63"/>
        <v>1176.0435370430484</v>
      </c>
      <c r="J188" s="202">
        <f t="shared" si="51"/>
        <v>41161.523796506699</v>
      </c>
      <c r="K188" s="203">
        <f t="shared" si="45"/>
        <v>41212.289561545891</v>
      </c>
      <c r="L188" s="204">
        <f t="shared" si="62"/>
        <v>-50.765765039192047</v>
      </c>
      <c r="M188" s="205">
        <f t="shared" si="52"/>
        <v>-1.5803765233949916</v>
      </c>
      <c r="N188" s="206">
        <f t="shared" si="53"/>
        <v>-52.346141562587036</v>
      </c>
      <c r="O188" s="205">
        <f t="shared" si="54"/>
        <v>0</v>
      </c>
      <c r="P188" s="205">
        <f t="shared" si="55"/>
        <v>0</v>
      </c>
      <c r="Q188" s="205">
        <v>0</v>
      </c>
      <c r="R188" s="206">
        <f t="shared" si="56"/>
        <v>-52.346141562587036</v>
      </c>
    </row>
    <row r="189" spans="1:18" x14ac:dyDescent="0.2">
      <c r="A189" s="160">
        <v>2</v>
      </c>
      <c r="B189" s="197">
        <f t="shared" si="49"/>
        <v>44228</v>
      </c>
      <c r="C189" s="220">
        <f t="shared" si="64"/>
        <v>44258</v>
      </c>
      <c r="D189" s="220">
        <f t="shared" si="64"/>
        <v>44279</v>
      </c>
      <c r="E189" s="207" t="s">
        <v>59</v>
      </c>
      <c r="F189" s="160">
        <v>9</v>
      </c>
      <c r="G189" s="200">
        <v>33</v>
      </c>
      <c r="H189" s="201">
        <f t="shared" si="50"/>
        <v>1177.4939874727397</v>
      </c>
      <c r="I189" s="201">
        <f t="shared" si="63"/>
        <v>1176.0435370430484</v>
      </c>
      <c r="J189" s="202">
        <f t="shared" si="51"/>
        <v>38809.4367224206</v>
      </c>
      <c r="K189" s="203">
        <f t="shared" si="45"/>
        <v>38857.301586600413</v>
      </c>
      <c r="L189" s="204">
        <f t="shared" si="62"/>
        <v>-47.864864179813594</v>
      </c>
      <c r="M189" s="205">
        <f t="shared" si="52"/>
        <v>-1.4900692934867061</v>
      </c>
      <c r="N189" s="206">
        <f t="shared" si="53"/>
        <v>-49.354933473300299</v>
      </c>
      <c r="O189" s="205">
        <f t="shared" si="54"/>
        <v>0</v>
      </c>
      <c r="P189" s="205">
        <f t="shared" si="55"/>
        <v>0</v>
      </c>
      <c r="Q189" s="205">
        <v>0</v>
      </c>
      <c r="R189" s="206">
        <f t="shared" si="56"/>
        <v>-49.354933473300299</v>
      </c>
    </row>
    <row r="190" spans="1:18" x14ac:dyDescent="0.2">
      <c r="A190" s="160">
        <v>3</v>
      </c>
      <c r="B190" s="197">
        <f t="shared" si="49"/>
        <v>44256</v>
      </c>
      <c r="C190" s="220">
        <f t="shared" si="64"/>
        <v>44291</v>
      </c>
      <c r="D190" s="220">
        <f t="shared" si="64"/>
        <v>44312</v>
      </c>
      <c r="E190" s="207" t="s">
        <v>59</v>
      </c>
      <c r="F190" s="160">
        <v>9</v>
      </c>
      <c r="G190" s="200">
        <v>30</v>
      </c>
      <c r="H190" s="201">
        <f t="shared" si="50"/>
        <v>1177.4939874727397</v>
      </c>
      <c r="I190" s="201">
        <f t="shared" si="63"/>
        <v>1176.0435370430484</v>
      </c>
      <c r="J190" s="202">
        <f t="shared" si="51"/>
        <v>35281.306111291451</v>
      </c>
      <c r="K190" s="203">
        <f t="shared" si="45"/>
        <v>35324.819624182193</v>
      </c>
      <c r="L190" s="204">
        <f>+J190-K190</f>
        <v>-43.513512890742277</v>
      </c>
      <c r="M190" s="205">
        <f t="shared" si="52"/>
        <v>-1.3546084486242784</v>
      </c>
      <c r="N190" s="206">
        <f t="shared" si="53"/>
        <v>-44.868121339366553</v>
      </c>
      <c r="O190" s="205">
        <f t="shared" si="54"/>
        <v>0</v>
      </c>
      <c r="P190" s="205">
        <f t="shared" si="55"/>
        <v>0</v>
      </c>
      <c r="Q190" s="205">
        <v>0</v>
      </c>
      <c r="R190" s="206">
        <f t="shared" si="56"/>
        <v>-44.868121339366553</v>
      </c>
    </row>
    <row r="191" spans="1:18" x14ac:dyDescent="0.2">
      <c r="A191" s="125">
        <v>4</v>
      </c>
      <c r="B191" s="197">
        <f t="shared" si="49"/>
        <v>44287</v>
      </c>
      <c r="C191" s="220">
        <f t="shared" si="64"/>
        <v>44321</v>
      </c>
      <c r="D191" s="220">
        <f t="shared" si="64"/>
        <v>44340</v>
      </c>
      <c r="E191" s="54" t="s">
        <v>59</v>
      </c>
      <c r="F191" s="160">
        <v>9</v>
      </c>
      <c r="G191" s="200">
        <v>32</v>
      </c>
      <c r="H191" s="201">
        <f t="shared" si="50"/>
        <v>1177.4939874727397</v>
      </c>
      <c r="I191" s="201">
        <f t="shared" si="63"/>
        <v>1176.0435370430484</v>
      </c>
      <c r="J191" s="202">
        <f t="shared" si="51"/>
        <v>37633.39318537755</v>
      </c>
      <c r="K191" s="203">
        <f t="shared" si="45"/>
        <v>37679.807599127671</v>
      </c>
      <c r="L191" s="204">
        <f t="shared" ref="L191:L201" si="65">+J191-K191</f>
        <v>-46.41441375012073</v>
      </c>
      <c r="M191" s="205">
        <f t="shared" si="52"/>
        <v>-1.4449156785325634</v>
      </c>
      <c r="N191" s="206">
        <f t="shared" si="53"/>
        <v>-47.859329428653297</v>
      </c>
      <c r="O191" s="205">
        <f t="shared" si="54"/>
        <v>0</v>
      </c>
      <c r="P191" s="205">
        <f t="shared" si="55"/>
        <v>0</v>
      </c>
      <c r="Q191" s="205">
        <v>0</v>
      </c>
      <c r="R191" s="206">
        <f t="shared" si="56"/>
        <v>-47.859329428653297</v>
      </c>
    </row>
    <row r="192" spans="1:18" x14ac:dyDescent="0.2">
      <c r="A192" s="160">
        <v>5</v>
      </c>
      <c r="B192" s="197">
        <f t="shared" si="49"/>
        <v>44317</v>
      </c>
      <c r="C192" s="220">
        <f t="shared" si="64"/>
        <v>44350</v>
      </c>
      <c r="D192" s="220">
        <f t="shared" si="64"/>
        <v>44371</v>
      </c>
      <c r="E192" s="54" t="s">
        <v>59</v>
      </c>
      <c r="F192" s="160">
        <v>9</v>
      </c>
      <c r="G192" s="200">
        <v>40</v>
      </c>
      <c r="H192" s="201">
        <f t="shared" si="50"/>
        <v>1177.4939874727397</v>
      </c>
      <c r="I192" s="201">
        <f t="shared" si="63"/>
        <v>1176.0435370430484</v>
      </c>
      <c r="J192" s="202">
        <f t="shared" si="51"/>
        <v>47041.74148172194</v>
      </c>
      <c r="K192" s="203">
        <f t="shared" si="45"/>
        <v>47099.759498909589</v>
      </c>
      <c r="L192" s="204">
        <f t="shared" si="65"/>
        <v>-58.018017187649093</v>
      </c>
      <c r="M192" s="205">
        <f t="shared" si="52"/>
        <v>-1.8061445981657045</v>
      </c>
      <c r="N192" s="206">
        <f t="shared" si="53"/>
        <v>-59.824161785814795</v>
      </c>
      <c r="O192" s="205">
        <f t="shared" si="54"/>
        <v>0</v>
      </c>
      <c r="P192" s="205">
        <f t="shared" si="55"/>
        <v>0</v>
      </c>
      <c r="Q192" s="205">
        <v>0</v>
      </c>
      <c r="R192" s="206">
        <f t="shared" si="56"/>
        <v>-59.824161785814795</v>
      </c>
    </row>
    <row r="193" spans="1:18" x14ac:dyDescent="0.2">
      <c r="A193" s="160">
        <v>6</v>
      </c>
      <c r="B193" s="197">
        <f t="shared" si="49"/>
        <v>44348</v>
      </c>
      <c r="C193" s="220">
        <f t="shared" si="64"/>
        <v>44383</v>
      </c>
      <c r="D193" s="220">
        <f t="shared" si="64"/>
        <v>44401</v>
      </c>
      <c r="E193" s="54" t="s">
        <v>59</v>
      </c>
      <c r="F193" s="160">
        <v>9</v>
      </c>
      <c r="G193" s="200">
        <v>46</v>
      </c>
      <c r="H193" s="201">
        <f t="shared" si="50"/>
        <v>1177.4939874727397</v>
      </c>
      <c r="I193" s="201">
        <f t="shared" si="63"/>
        <v>1176.0435370430484</v>
      </c>
      <c r="J193" s="202">
        <f t="shared" si="51"/>
        <v>54098.00270398023</v>
      </c>
      <c r="K193" s="203">
        <f t="shared" si="45"/>
        <v>54164.723423746029</v>
      </c>
      <c r="L193" s="208">
        <f t="shared" si="65"/>
        <v>-66.720719765799004</v>
      </c>
      <c r="M193" s="205">
        <f t="shared" si="52"/>
        <v>-2.0770662878905601</v>
      </c>
      <c r="N193" s="206">
        <f t="shared" si="53"/>
        <v>-68.797786053689563</v>
      </c>
      <c r="O193" s="205">
        <f t="shared" si="54"/>
        <v>0</v>
      </c>
      <c r="P193" s="205">
        <f t="shared" si="55"/>
        <v>0</v>
      </c>
      <c r="Q193" s="205">
        <v>0</v>
      </c>
      <c r="R193" s="206">
        <f t="shared" si="56"/>
        <v>-68.797786053689563</v>
      </c>
    </row>
    <row r="194" spans="1:18" x14ac:dyDescent="0.2">
      <c r="A194" s="125">
        <v>7</v>
      </c>
      <c r="B194" s="197">
        <f t="shared" si="49"/>
        <v>44378</v>
      </c>
      <c r="C194" s="220">
        <f t="shared" si="64"/>
        <v>44412</v>
      </c>
      <c r="D194" s="220">
        <f t="shared" si="64"/>
        <v>44432</v>
      </c>
      <c r="E194" s="54" t="s">
        <v>59</v>
      </c>
      <c r="F194" s="160">
        <v>9</v>
      </c>
      <c r="G194" s="200">
        <v>48</v>
      </c>
      <c r="H194" s="201">
        <f t="shared" si="50"/>
        <v>1177.4939874727397</v>
      </c>
      <c r="I194" s="201">
        <f t="shared" si="63"/>
        <v>1176.0435370430484</v>
      </c>
      <c r="J194" s="202">
        <f t="shared" si="51"/>
        <v>56450.089778066322</v>
      </c>
      <c r="K194" s="209">
        <f t="shared" si="45"/>
        <v>56519.711398691506</v>
      </c>
      <c r="L194" s="208">
        <f t="shared" si="65"/>
        <v>-69.621620625184732</v>
      </c>
      <c r="M194" s="205">
        <f t="shared" si="52"/>
        <v>-2.1673735177988456</v>
      </c>
      <c r="N194" s="206">
        <f t="shared" si="53"/>
        <v>-71.788994142983583</v>
      </c>
      <c r="O194" s="205">
        <f t="shared" si="54"/>
        <v>0</v>
      </c>
      <c r="P194" s="205">
        <f t="shared" si="55"/>
        <v>0</v>
      </c>
      <c r="Q194" s="205">
        <v>0</v>
      </c>
      <c r="R194" s="206">
        <f t="shared" si="56"/>
        <v>-71.788994142983583</v>
      </c>
    </row>
    <row r="195" spans="1:18" x14ac:dyDescent="0.2">
      <c r="A195" s="160">
        <v>8</v>
      </c>
      <c r="B195" s="197">
        <f t="shared" si="49"/>
        <v>44409</v>
      </c>
      <c r="C195" s="220">
        <f t="shared" si="64"/>
        <v>44442</v>
      </c>
      <c r="D195" s="220">
        <f t="shared" si="64"/>
        <v>44463</v>
      </c>
      <c r="E195" s="54" t="s">
        <v>59</v>
      </c>
      <c r="F195" s="160">
        <v>9</v>
      </c>
      <c r="G195" s="200">
        <v>50</v>
      </c>
      <c r="H195" s="201">
        <f t="shared" si="50"/>
        <v>1177.4939874727397</v>
      </c>
      <c r="I195" s="201">
        <f t="shared" si="63"/>
        <v>1176.0435370430484</v>
      </c>
      <c r="J195" s="202">
        <f t="shared" si="51"/>
        <v>58802.176852152421</v>
      </c>
      <c r="K195" s="209">
        <f t="shared" si="45"/>
        <v>58874.699373636984</v>
      </c>
      <c r="L195" s="208">
        <f t="shared" si="65"/>
        <v>-72.522521484563185</v>
      </c>
      <c r="M195" s="205">
        <f t="shared" si="52"/>
        <v>-2.257680747707131</v>
      </c>
      <c r="N195" s="206">
        <f t="shared" si="53"/>
        <v>-74.780202232270312</v>
      </c>
      <c r="O195" s="205">
        <f t="shared" si="54"/>
        <v>0</v>
      </c>
      <c r="P195" s="205">
        <f t="shared" si="55"/>
        <v>0</v>
      </c>
      <c r="Q195" s="205">
        <v>0</v>
      </c>
      <c r="R195" s="206">
        <f t="shared" si="56"/>
        <v>-74.780202232270312</v>
      </c>
    </row>
    <row r="196" spans="1:18" x14ac:dyDescent="0.2">
      <c r="A196" s="160">
        <v>9</v>
      </c>
      <c r="B196" s="197">
        <f t="shared" si="49"/>
        <v>44440</v>
      </c>
      <c r="C196" s="220">
        <f t="shared" si="64"/>
        <v>44474</v>
      </c>
      <c r="D196" s="220">
        <f t="shared" si="64"/>
        <v>44494</v>
      </c>
      <c r="E196" s="54" t="s">
        <v>59</v>
      </c>
      <c r="F196" s="160">
        <v>9</v>
      </c>
      <c r="G196" s="200">
        <v>52</v>
      </c>
      <c r="H196" s="201">
        <f t="shared" si="50"/>
        <v>1177.4939874727397</v>
      </c>
      <c r="I196" s="201">
        <f t="shared" si="63"/>
        <v>1176.0435370430484</v>
      </c>
      <c r="J196" s="202">
        <f t="shared" si="51"/>
        <v>61154.26392623852</v>
      </c>
      <c r="K196" s="209">
        <f t="shared" si="45"/>
        <v>61229.687348582462</v>
      </c>
      <c r="L196" s="208">
        <f t="shared" si="65"/>
        <v>-75.423422343941638</v>
      </c>
      <c r="M196" s="205">
        <f t="shared" si="52"/>
        <v>-2.347987977615416</v>
      </c>
      <c r="N196" s="206">
        <f t="shared" si="53"/>
        <v>-77.771410321557056</v>
      </c>
      <c r="O196" s="205">
        <f t="shared" si="54"/>
        <v>0</v>
      </c>
      <c r="P196" s="205">
        <f t="shared" si="55"/>
        <v>0</v>
      </c>
      <c r="Q196" s="205">
        <v>0</v>
      </c>
      <c r="R196" s="206">
        <f t="shared" si="56"/>
        <v>-77.771410321557056</v>
      </c>
    </row>
    <row r="197" spans="1:18" x14ac:dyDescent="0.2">
      <c r="A197" s="125">
        <v>10</v>
      </c>
      <c r="B197" s="197">
        <f t="shared" si="49"/>
        <v>44470</v>
      </c>
      <c r="C197" s="220">
        <f t="shared" si="64"/>
        <v>44503</v>
      </c>
      <c r="D197" s="220">
        <f t="shared" si="64"/>
        <v>44524</v>
      </c>
      <c r="E197" s="54" t="s">
        <v>59</v>
      </c>
      <c r="F197" s="160">
        <v>9</v>
      </c>
      <c r="G197" s="200">
        <v>40</v>
      </c>
      <c r="H197" s="201">
        <f t="shared" si="50"/>
        <v>1177.4939874727397</v>
      </c>
      <c r="I197" s="201">
        <f t="shared" si="63"/>
        <v>1176.0435370430484</v>
      </c>
      <c r="J197" s="202">
        <f t="shared" si="51"/>
        <v>47041.74148172194</v>
      </c>
      <c r="K197" s="209">
        <f t="shared" si="45"/>
        <v>47099.759498909589</v>
      </c>
      <c r="L197" s="208">
        <f t="shared" si="65"/>
        <v>-58.018017187649093</v>
      </c>
      <c r="M197" s="205">
        <f t="shared" si="52"/>
        <v>-1.8061445981657045</v>
      </c>
      <c r="N197" s="206">
        <f t="shared" si="53"/>
        <v>-59.824161785814795</v>
      </c>
      <c r="O197" s="205">
        <f t="shared" si="54"/>
        <v>0</v>
      </c>
      <c r="P197" s="205">
        <f t="shared" si="55"/>
        <v>0</v>
      </c>
      <c r="Q197" s="205">
        <v>0</v>
      </c>
      <c r="R197" s="206">
        <f t="shared" si="56"/>
        <v>-59.824161785814795</v>
      </c>
    </row>
    <row r="198" spans="1:18" x14ac:dyDescent="0.2">
      <c r="A198" s="160">
        <v>11</v>
      </c>
      <c r="B198" s="197">
        <f t="shared" si="49"/>
        <v>44501</v>
      </c>
      <c r="C198" s="220">
        <f t="shared" si="64"/>
        <v>44533</v>
      </c>
      <c r="D198" s="220">
        <f t="shared" si="64"/>
        <v>44557</v>
      </c>
      <c r="E198" s="54" t="s">
        <v>59</v>
      </c>
      <c r="F198" s="160">
        <v>9</v>
      </c>
      <c r="G198" s="200">
        <v>32</v>
      </c>
      <c r="H198" s="201">
        <f t="shared" si="50"/>
        <v>1177.4939874727397</v>
      </c>
      <c r="I198" s="201">
        <f t="shared" si="63"/>
        <v>1176.0435370430484</v>
      </c>
      <c r="J198" s="202">
        <f t="shared" si="51"/>
        <v>37633.39318537755</v>
      </c>
      <c r="K198" s="209">
        <f t="shared" ref="K198:K209" si="66">+$G198*H198</f>
        <v>37679.807599127671</v>
      </c>
      <c r="L198" s="208">
        <f t="shared" si="65"/>
        <v>-46.41441375012073</v>
      </c>
      <c r="M198" s="205">
        <f t="shared" si="52"/>
        <v>-1.4449156785325634</v>
      </c>
      <c r="N198" s="206">
        <f t="shared" si="53"/>
        <v>-47.859329428653297</v>
      </c>
      <c r="O198" s="205">
        <f t="shared" si="54"/>
        <v>0</v>
      </c>
      <c r="P198" s="205">
        <f t="shared" si="55"/>
        <v>0</v>
      </c>
      <c r="Q198" s="205">
        <v>0</v>
      </c>
      <c r="R198" s="206">
        <f t="shared" si="56"/>
        <v>-47.859329428653297</v>
      </c>
    </row>
    <row r="199" spans="1:18" s="224" customFormat="1" x14ac:dyDescent="0.2">
      <c r="A199" s="160">
        <v>12</v>
      </c>
      <c r="B199" s="222">
        <f t="shared" si="49"/>
        <v>44531</v>
      </c>
      <c r="C199" s="220">
        <f t="shared" si="64"/>
        <v>44566</v>
      </c>
      <c r="D199" s="220">
        <f t="shared" si="64"/>
        <v>44585</v>
      </c>
      <c r="E199" s="223" t="s">
        <v>59</v>
      </c>
      <c r="F199" s="171">
        <v>9</v>
      </c>
      <c r="G199" s="200">
        <v>35</v>
      </c>
      <c r="H199" s="212">
        <f t="shared" si="50"/>
        <v>1177.4939874727397</v>
      </c>
      <c r="I199" s="212">
        <f t="shared" si="63"/>
        <v>1176.0435370430484</v>
      </c>
      <c r="J199" s="213">
        <f t="shared" si="51"/>
        <v>41161.523796506699</v>
      </c>
      <c r="K199" s="214">
        <f t="shared" si="66"/>
        <v>41212.289561545891</v>
      </c>
      <c r="L199" s="215">
        <f t="shared" si="65"/>
        <v>-50.765765039192047</v>
      </c>
      <c r="M199" s="205">
        <f t="shared" si="52"/>
        <v>-1.5803765233949916</v>
      </c>
      <c r="N199" s="206">
        <f t="shared" si="53"/>
        <v>-52.346141562587036</v>
      </c>
      <c r="O199" s="205">
        <f t="shared" si="54"/>
        <v>0</v>
      </c>
      <c r="P199" s="205">
        <f t="shared" si="55"/>
        <v>0</v>
      </c>
      <c r="Q199" s="205">
        <v>0</v>
      </c>
      <c r="R199" s="206">
        <f t="shared" si="56"/>
        <v>-52.346141562587036</v>
      </c>
    </row>
    <row r="200" spans="1:18" x14ac:dyDescent="0.2">
      <c r="A200" s="125">
        <v>1</v>
      </c>
      <c r="B200" s="197">
        <f t="shared" si="49"/>
        <v>44197</v>
      </c>
      <c r="C200" s="217">
        <f t="shared" si="64"/>
        <v>44230</v>
      </c>
      <c r="D200" s="217">
        <f t="shared" si="64"/>
        <v>44251</v>
      </c>
      <c r="E200" s="199" t="s">
        <v>17</v>
      </c>
      <c r="F200" s="125">
        <v>9</v>
      </c>
      <c r="G200" s="200">
        <v>94</v>
      </c>
      <c r="H200" s="201">
        <f t="shared" si="50"/>
        <v>1177.4939874727397</v>
      </c>
      <c r="I200" s="201">
        <f t="shared" si="63"/>
        <v>1176.0435370430484</v>
      </c>
      <c r="J200" s="202">
        <f t="shared" si="51"/>
        <v>110548.09248204656</v>
      </c>
      <c r="K200" s="203">
        <f t="shared" si="66"/>
        <v>110684.43482243753</v>
      </c>
      <c r="L200" s="204">
        <f t="shared" si="65"/>
        <v>-136.34234039096918</v>
      </c>
      <c r="M200" s="205">
        <f t="shared" si="52"/>
        <v>-4.2444398056894057</v>
      </c>
      <c r="N200" s="206">
        <f t="shared" si="53"/>
        <v>-140.58678019665859</v>
      </c>
      <c r="O200" s="205">
        <f t="shared" si="54"/>
        <v>0</v>
      </c>
      <c r="P200" s="205">
        <f t="shared" si="55"/>
        <v>0</v>
      </c>
      <c r="Q200" s="205">
        <v>0</v>
      </c>
      <c r="R200" s="206">
        <f t="shared" si="56"/>
        <v>-140.58678019665859</v>
      </c>
    </row>
    <row r="201" spans="1:18" x14ac:dyDescent="0.2">
      <c r="A201" s="160">
        <v>2</v>
      </c>
      <c r="B201" s="197">
        <f t="shared" si="49"/>
        <v>44228</v>
      </c>
      <c r="C201" s="220">
        <f t="shared" si="64"/>
        <v>44258</v>
      </c>
      <c r="D201" s="220">
        <f t="shared" si="64"/>
        <v>44279</v>
      </c>
      <c r="E201" s="207" t="s">
        <v>17</v>
      </c>
      <c r="F201" s="160">
        <v>9</v>
      </c>
      <c r="G201" s="200">
        <v>100</v>
      </c>
      <c r="H201" s="201">
        <f t="shared" si="50"/>
        <v>1177.4939874727397</v>
      </c>
      <c r="I201" s="201">
        <f t="shared" si="63"/>
        <v>1176.0435370430484</v>
      </c>
      <c r="J201" s="202">
        <f t="shared" si="51"/>
        <v>117604.35370430484</v>
      </c>
      <c r="K201" s="203">
        <f t="shared" si="66"/>
        <v>117749.39874727397</v>
      </c>
      <c r="L201" s="204">
        <f t="shared" si="65"/>
        <v>-145.04504296912637</v>
      </c>
      <c r="M201" s="205">
        <f t="shared" si="52"/>
        <v>-4.515361495414262</v>
      </c>
      <c r="N201" s="206">
        <f t="shared" si="53"/>
        <v>-149.56040446454062</v>
      </c>
      <c r="O201" s="205">
        <f t="shared" si="54"/>
        <v>0</v>
      </c>
      <c r="P201" s="205">
        <f t="shared" si="55"/>
        <v>0</v>
      </c>
      <c r="Q201" s="205">
        <v>0</v>
      </c>
      <c r="R201" s="206">
        <f t="shared" si="56"/>
        <v>-149.56040446454062</v>
      </c>
    </row>
    <row r="202" spans="1:18" x14ac:dyDescent="0.2">
      <c r="A202" s="160">
        <v>3</v>
      </c>
      <c r="B202" s="197">
        <f t="shared" si="49"/>
        <v>44256</v>
      </c>
      <c r="C202" s="220">
        <f t="shared" si="64"/>
        <v>44291</v>
      </c>
      <c r="D202" s="220">
        <f t="shared" si="64"/>
        <v>44312</v>
      </c>
      <c r="E202" s="207" t="s">
        <v>17</v>
      </c>
      <c r="F202" s="160">
        <v>9</v>
      </c>
      <c r="G202" s="200">
        <v>101</v>
      </c>
      <c r="H202" s="201">
        <f t="shared" si="50"/>
        <v>1177.4939874727397</v>
      </c>
      <c r="I202" s="201">
        <f t="shared" si="63"/>
        <v>1176.0435370430484</v>
      </c>
      <c r="J202" s="202">
        <f t="shared" si="51"/>
        <v>118780.39724134789</v>
      </c>
      <c r="K202" s="203">
        <f t="shared" si="66"/>
        <v>118926.89273474671</v>
      </c>
      <c r="L202" s="204">
        <f>+J202-K202</f>
        <v>-146.49549339881924</v>
      </c>
      <c r="M202" s="205">
        <f t="shared" si="52"/>
        <v>-4.5605151103684038</v>
      </c>
      <c r="N202" s="206">
        <f t="shared" si="53"/>
        <v>-151.05600850918765</v>
      </c>
      <c r="O202" s="205">
        <f t="shared" si="54"/>
        <v>0</v>
      </c>
      <c r="P202" s="205">
        <f t="shared" si="55"/>
        <v>0</v>
      </c>
      <c r="Q202" s="205">
        <v>0</v>
      </c>
      <c r="R202" s="206">
        <f t="shared" si="56"/>
        <v>-151.05600850918765</v>
      </c>
    </row>
    <row r="203" spans="1:18" x14ac:dyDescent="0.2">
      <c r="A203" s="125">
        <v>4</v>
      </c>
      <c r="B203" s="197">
        <f t="shared" si="49"/>
        <v>44287</v>
      </c>
      <c r="C203" s="220">
        <f t="shared" si="64"/>
        <v>44321</v>
      </c>
      <c r="D203" s="220">
        <f t="shared" si="64"/>
        <v>44340</v>
      </c>
      <c r="E203" s="207" t="s">
        <v>17</v>
      </c>
      <c r="F203" s="160">
        <v>9</v>
      </c>
      <c r="G203" s="200">
        <v>98</v>
      </c>
      <c r="H203" s="201">
        <f t="shared" si="50"/>
        <v>1177.4939874727397</v>
      </c>
      <c r="I203" s="201">
        <f t="shared" si="63"/>
        <v>1176.0435370430484</v>
      </c>
      <c r="J203" s="202">
        <f t="shared" si="51"/>
        <v>115252.26663021874</v>
      </c>
      <c r="K203" s="203">
        <f t="shared" si="66"/>
        <v>115394.4107723285</v>
      </c>
      <c r="L203" s="204">
        <f t="shared" ref="L203:L211" si="67">+J203-K203</f>
        <v>-142.14414210975519</v>
      </c>
      <c r="M203" s="205">
        <f t="shared" si="52"/>
        <v>-4.4250542655059766</v>
      </c>
      <c r="N203" s="206">
        <f t="shared" si="53"/>
        <v>-146.56919637526116</v>
      </c>
      <c r="O203" s="205">
        <f t="shared" si="54"/>
        <v>0</v>
      </c>
      <c r="P203" s="205">
        <f t="shared" si="55"/>
        <v>0</v>
      </c>
      <c r="Q203" s="205">
        <v>0</v>
      </c>
      <c r="R203" s="206">
        <f t="shared" si="56"/>
        <v>-146.56919637526116</v>
      </c>
    </row>
    <row r="204" spans="1:18" x14ac:dyDescent="0.2">
      <c r="A204" s="160">
        <v>5</v>
      </c>
      <c r="B204" s="197">
        <f t="shared" si="49"/>
        <v>44317</v>
      </c>
      <c r="C204" s="220">
        <f t="shared" si="64"/>
        <v>44350</v>
      </c>
      <c r="D204" s="220">
        <f t="shared" si="64"/>
        <v>44371</v>
      </c>
      <c r="E204" s="54" t="s">
        <v>17</v>
      </c>
      <c r="F204" s="160">
        <v>9</v>
      </c>
      <c r="G204" s="200">
        <v>99</v>
      </c>
      <c r="H204" s="201">
        <f t="shared" si="50"/>
        <v>1177.4939874727397</v>
      </c>
      <c r="I204" s="201">
        <f t="shared" si="63"/>
        <v>1176.0435370430484</v>
      </c>
      <c r="J204" s="202">
        <f t="shared" si="51"/>
        <v>116428.31016726179</v>
      </c>
      <c r="K204" s="203">
        <f t="shared" si="66"/>
        <v>116571.90475980123</v>
      </c>
      <c r="L204" s="204">
        <f t="shared" si="67"/>
        <v>-143.59459253943351</v>
      </c>
      <c r="M204" s="205">
        <f t="shared" si="52"/>
        <v>-4.4702078804601193</v>
      </c>
      <c r="N204" s="206">
        <f t="shared" si="53"/>
        <v>-148.06480041989363</v>
      </c>
      <c r="O204" s="205">
        <f t="shared" si="54"/>
        <v>0</v>
      </c>
      <c r="P204" s="205">
        <f t="shared" si="55"/>
        <v>0</v>
      </c>
      <c r="Q204" s="205">
        <v>0</v>
      </c>
      <c r="R204" s="206">
        <f t="shared" si="56"/>
        <v>-148.06480041989363</v>
      </c>
    </row>
    <row r="205" spans="1:18" x14ac:dyDescent="0.2">
      <c r="A205" s="160">
        <v>6</v>
      </c>
      <c r="B205" s="197">
        <f t="shared" si="49"/>
        <v>44348</v>
      </c>
      <c r="C205" s="220">
        <f t="shared" si="64"/>
        <v>44383</v>
      </c>
      <c r="D205" s="220">
        <f t="shared" si="64"/>
        <v>44401</v>
      </c>
      <c r="E205" s="54" t="s">
        <v>17</v>
      </c>
      <c r="F205" s="160">
        <v>9</v>
      </c>
      <c r="G205" s="200">
        <v>113</v>
      </c>
      <c r="H205" s="201">
        <f t="shared" si="50"/>
        <v>1177.4939874727397</v>
      </c>
      <c r="I205" s="201">
        <f t="shared" si="63"/>
        <v>1176.0435370430484</v>
      </c>
      <c r="J205" s="202">
        <f t="shared" si="51"/>
        <v>132892.91968586447</v>
      </c>
      <c r="K205" s="203">
        <f t="shared" si="66"/>
        <v>133056.82058441959</v>
      </c>
      <c r="L205" s="208">
        <f t="shared" si="67"/>
        <v>-163.90089855511906</v>
      </c>
      <c r="M205" s="205">
        <f t="shared" si="52"/>
        <v>-5.1023584898181156</v>
      </c>
      <c r="N205" s="206">
        <f t="shared" si="53"/>
        <v>-169.00325704493719</v>
      </c>
      <c r="O205" s="205">
        <f t="shared" si="54"/>
        <v>0</v>
      </c>
      <c r="P205" s="205">
        <f t="shared" si="55"/>
        <v>0</v>
      </c>
      <c r="Q205" s="205">
        <v>0</v>
      </c>
      <c r="R205" s="206">
        <f t="shared" si="56"/>
        <v>-169.00325704493719</v>
      </c>
    </row>
    <row r="206" spans="1:18" x14ac:dyDescent="0.2">
      <c r="A206" s="125">
        <v>7</v>
      </c>
      <c r="B206" s="197">
        <f t="shared" si="49"/>
        <v>44378</v>
      </c>
      <c r="C206" s="220">
        <f t="shared" si="64"/>
        <v>44412</v>
      </c>
      <c r="D206" s="220">
        <f t="shared" si="64"/>
        <v>44432</v>
      </c>
      <c r="E206" s="54" t="s">
        <v>17</v>
      </c>
      <c r="F206" s="160">
        <v>9</v>
      </c>
      <c r="G206" s="200">
        <v>116</v>
      </c>
      <c r="H206" s="201">
        <f t="shared" si="50"/>
        <v>1177.4939874727397</v>
      </c>
      <c r="I206" s="201">
        <f t="shared" si="63"/>
        <v>1176.0435370430484</v>
      </c>
      <c r="J206" s="202">
        <f t="shared" si="51"/>
        <v>136421.05029699361</v>
      </c>
      <c r="K206" s="209">
        <f t="shared" si="66"/>
        <v>136589.3025468378</v>
      </c>
      <c r="L206" s="208">
        <f t="shared" si="67"/>
        <v>-168.25224984419765</v>
      </c>
      <c r="M206" s="205">
        <f t="shared" si="52"/>
        <v>-5.2378193346805428</v>
      </c>
      <c r="N206" s="206">
        <f t="shared" si="53"/>
        <v>-173.4900691788782</v>
      </c>
      <c r="O206" s="205">
        <f t="shared" si="54"/>
        <v>0</v>
      </c>
      <c r="P206" s="205">
        <f t="shared" si="55"/>
        <v>0</v>
      </c>
      <c r="Q206" s="205">
        <v>0</v>
      </c>
      <c r="R206" s="206">
        <f t="shared" si="56"/>
        <v>-173.4900691788782</v>
      </c>
    </row>
    <row r="207" spans="1:18" x14ac:dyDescent="0.2">
      <c r="A207" s="160">
        <v>8</v>
      </c>
      <c r="B207" s="197">
        <f t="shared" si="49"/>
        <v>44409</v>
      </c>
      <c r="C207" s="220">
        <f t="shared" si="64"/>
        <v>44442</v>
      </c>
      <c r="D207" s="220">
        <f t="shared" si="64"/>
        <v>44463</v>
      </c>
      <c r="E207" s="54" t="s">
        <v>17</v>
      </c>
      <c r="F207" s="160">
        <v>9</v>
      </c>
      <c r="G207" s="200">
        <v>116</v>
      </c>
      <c r="H207" s="201">
        <f t="shared" si="50"/>
        <v>1177.4939874727397</v>
      </c>
      <c r="I207" s="201">
        <f t="shared" si="63"/>
        <v>1176.0435370430484</v>
      </c>
      <c r="J207" s="202">
        <f t="shared" si="51"/>
        <v>136421.05029699361</v>
      </c>
      <c r="K207" s="209">
        <f t="shared" si="66"/>
        <v>136589.3025468378</v>
      </c>
      <c r="L207" s="208">
        <f t="shared" si="67"/>
        <v>-168.25224984419765</v>
      </c>
      <c r="M207" s="205">
        <f t="shared" si="52"/>
        <v>-5.2378193346805428</v>
      </c>
      <c r="N207" s="206">
        <f t="shared" si="53"/>
        <v>-173.4900691788782</v>
      </c>
      <c r="O207" s="205">
        <f t="shared" si="54"/>
        <v>0</v>
      </c>
      <c r="P207" s="205">
        <f t="shared" si="55"/>
        <v>0</v>
      </c>
      <c r="Q207" s="205">
        <v>0</v>
      </c>
      <c r="R207" s="206">
        <f t="shared" si="56"/>
        <v>-173.4900691788782</v>
      </c>
    </row>
    <row r="208" spans="1:18" x14ac:dyDescent="0.2">
      <c r="A208" s="160">
        <v>9</v>
      </c>
      <c r="B208" s="197">
        <f t="shared" si="49"/>
        <v>44440</v>
      </c>
      <c r="C208" s="220">
        <f t="shared" si="64"/>
        <v>44474</v>
      </c>
      <c r="D208" s="220">
        <f t="shared" si="64"/>
        <v>44494</v>
      </c>
      <c r="E208" s="54" t="s">
        <v>17</v>
      </c>
      <c r="F208" s="160">
        <v>9</v>
      </c>
      <c r="G208" s="200">
        <v>116</v>
      </c>
      <c r="H208" s="201">
        <f t="shared" si="50"/>
        <v>1177.4939874727397</v>
      </c>
      <c r="I208" s="201">
        <f t="shared" si="63"/>
        <v>1176.0435370430484</v>
      </c>
      <c r="J208" s="202">
        <f t="shared" si="51"/>
        <v>136421.05029699361</v>
      </c>
      <c r="K208" s="209">
        <f t="shared" si="66"/>
        <v>136589.3025468378</v>
      </c>
      <c r="L208" s="208">
        <f t="shared" si="67"/>
        <v>-168.25224984419765</v>
      </c>
      <c r="M208" s="205">
        <f t="shared" si="52"/>
        <v>-5.2378193346805428</v>
      </c>
      <c r="N208" s="206">
        <f t="shared" si="53"/>
        <v>-173.4900691788782</v>
      </c>
      <c r="O208" s="205">
        <f t="shared" si="54"/>
        <v>0</v>
      </c>
      <c r="P208" s="205">
        <f t="shared" si="55"/>
        <v>0</v>
      </c>
      <c r="Q208" s="205">
        <v>0</v>
      </c>
      <c r="R208" s="206">
        <f t="shared" si="56"/>
        <v>-173.4900691788782</v>
      </c>
    </row>
    <row r="209" spans="1:18" x14ac:dyDescent="0.2">
      <c r="A209" s="125">
        <v>10</v>
      </c>
      <c r="B209" s="197">
        <f t="shared" si="49"/>
        <v>44470</v>
      </c>
      <c r="C209" s="220">
        <f t="shared" si="64"/>
        <v>44503</v>
      </c>
      <c r="D209" s="220">
        <f t="shared" si="64"/>
        <v>44524</v>
      </c>
      <c r="E209" s="54" t="s">
        <v>17</v>
      </c>
      <c r="F209" s="160">
        <v>9</v>
      </c>
      <c r="G209" s="200">
        <v>105</v>
      </c>
      <c r="H209" s="201">
        <f t="shared" si="50"/>
        <v>1177.4939874727397</v>
      </c>
      <c r="I209" s="201">
        <f t="shared" si="63"/>
        <v>1176.0435370430484</v>
      </c>
      <c r="J209" s="202">
        <f t="shared" si="51"/>
        <v>123484.57138952009</v>
      </c>
      <c r="K209" s="209">
        <f t="shared" si="66"/>
        <v>123636.86868463767</v>
      </c>
      <c r="L209" s="208">
        <f t="shared" si="67"/>
        <v>-152.29729511757614</v>
      </c>
      <c r="M209" s="205">
        <f t="shared" si="52"/>
        <v>-4.7411295701849747</v>
      </c>
      <c r="N209" s="206">
        <f t="shared" si="53"/>
        <v>-157.03842468776111</v>
      </c>
      <c r="O209" s="205">
        <f t="shared" si="54"/>
        <v>0</v>
      </c>
      <c r="P209" s="205">
        <f t="shared" si="55"/>
        <v>0</v>
      </c>
      <c r="Q209" s="205">
        <v>0</v>
      </c>
      <c r="R209" s="206">
        <f t="shared" si="56"/>
        <v>-157.03842468776111</v>
      </c>
    </row>
    <row r="210" spans="1:18" x14ac:dyDescent="0.2">
      <c r="A210" s="160">
        <v>11</v>
      </c>
      <c r="B210" s="197">
        <f t="shared" si="49"/>
        <v>44501</v>
      </c>
      <c r="C210" s="220">
        <f t="shared" si="64"/>
        <v>44533</v>
      </c>
      <c r="D210" s="220">
        <f t="shared" si="64"/>
        <v>44557</v>
      </c>
      <c r="E210" s="54" t="s">
        <v>17</v>
      </c>
      <c r="F210" s="160">
        <v>9</v>
      </c>
      <c r="G210" s="200">
        <v>100</v>
      </c>
      <c r="H210" s="201">
        <f t="shared" si="50"/>
        <v>1177.4939874727397</v>
      </c>
      <c r="I210" s="201">
        <f t="shared" si="63"/>
        <v>1176.0435370430484</v>
      </c>
      <c r="J210" s="202">
        <f t="shared" si="51"/>
        <v>117604.35370430484</v>
      </c>
      <c r="K210" s="209">
        <f>+$G210*H210</f>
        <v>117749.39874727397</v>
      </c>
      <c r="L210" s="208">
        <f t="shared" si="67"/>
        <v>-145.04504296912637</v>
      </c>
      <c r="M210" s="205">
        <f t="shared" si="52"/>
        <v>-4.515361495414262</v>
      </c>
      <c r="N210" s="206">
        <f t="shared" si="53"/>
        <v>-149.56040446454062</v>
      </c>
      <c r="O210" s="205">
        <f t="shared" si="54"/>
        <v>0</v>
      </c>
      <c r="P210" s="205">
        <f t="shared" si="55"/>
        <v>0</v>
      </c>
      <c r="Q210" s="205">
        <v>0</v>
      </c>
      <c r="R210" s="206">
        <f t="shared" si="56"/>
        <v>-149.56040446454062</v>
      </c>
    </row>
    <row r="211" spans="1:18" s="224" customFormat="1" x14ac:dyDescent="0.2">
      <c r="A211" s="160">
        <v>12</v>
      </c>
      <c r="B211" s="222">
        <f t="shared" si="49"/>
        <v>44531</v>
      </c>
      <c r="C211" s="225">
        <f t="shared" si="64"/>
        <v>44566</v>
      </c>
      <c r="D211" s="225">
        <f t="shared" si="64"/>
        <v>44585</v>
      </c>
      <c r="E211" s="223" t="s">
        <v>17</v>
      </c>
      <c r="F211" s="171">
        <v>9</v>
      </c>
      <c r="G211" s="200">
        <v>103</v>
      </c>
      <c r="H211" s="212">
        <f t="shared" si="50"/>
        <v>1177.4939874727397</v>
      </c>
      <c r="I211" s="212">
        <f t="shared" si="63"/>
        <v>1176.0435370430484</v>
      </c>
      <c r="J211" s="213">
        <f t="shared" si="51"/>
        <v>121132.48431543399</v>
      </c>
      <c r="K211" s="214">
        <f>+$G211*H211</f>
        <v>121281.8807096922</v>
      </c>
      <c r="L211" s="215">
        <f t="shared" si="67"/>
        <v>-149.39639425820496</v>
      </c>
      <c r="M211" s="213">
        <f t="shared" si="52"/>
        <v>-4.6508223402766893</v>
      </c>
      <c r="N211" s="206">
        <f t="shared" si="53"/>
        <v>-154.04721659848164</v>
      </c>
      <c r="O211" s="213">
        <f t="shared" si="54"/>
        <v>0</v>
      </c>
      <c r="P211" s="230">
        <f t="shared" si="55"/>
        <v>0</v>
      </c>
      <c r="Q211" s="205">
        <v>0</v>
      </c>
      <c r="R211" s="206">
        <f t="shared" si="56"/>
        <v>-154.04721659848164</v>
      </c>
    </row>
    <row r="212" spans="1:18" x14ac:dyDescent="0.2">
      <c r="G212" s="231">
        <f>SUM(G20:G211)</f>
        <v>98311</v>
      </c>
      <c r="H212" s="51"/>
      <c r="I212" s="51"/>
      <c r="J212" s="51">
        <f>SUM(J20:J211)</f>
        <v>115618016.17023954</v>
      </c>
      <c r="K212" s="51">
        <f>SUM(K20:K211)</f>
        <v>115760611.40243267</v>
      </c>
      <c r="L212" s="51">
        <f>SUM(L20:L211)</f>
        <v>-142595.23219337891</v>
      </c>
      <c r="M212" s="51">
        <f>SUM(M20:M211)</f>
        <v>-4439.0970397567135</v>
      </c>
      <c r="N212" s="51"/>
      <c r="O212" s="51"/>
      <c r="P212" s="51">
        <f>SUM(P20:P211)</f>
        <v>0</v>
      </c>
      <c r="Q212" s="51"/>
      <c r="R212" s="232">
        <f>SUM(R20:R211)</f>
        <v>-147034.3292331358</v>
      </c>
    </row>
    <row r="213" spans="1:18" x14ac:dyDescent="0.2">
      <c r="P213" s="51"/>
      <c r="Q213" s="51"/>
    </row>
    <row r="220" spans="1:18" x14ac:dyDescent="0.2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7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NC80LzIwMjIgMzoxNjowNS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NTozOToyMSBQTTwvRGF0ZVRpbWU+PExhYmVsU3RyaW5nPkFFUCBJbnRlcm5hbD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99F2697C-8AA3-4853-90AC-D1EFBA06E9BE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4A8EE82A-43B9-4F57-91B0-373C91D91C4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2021-05-21T18:06:53Z</cp:lastPrinted>
  <dcterms:created xsi:type="dcterms:W3CDTF">2009-09-04T18:19:13Z</dcterms:created>
  <dcterms:modified xsi:type="dcterms:W3CDTF">2022-05-27T21:20:54Z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6c50bb87-5e35-48e4-8c52-adbcd654b860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{99F2697C-8AA3-4853-90AC-D1EFBA06E9BE}</vt:lpwstr>
  </property>
</Properties>
</file>